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drawings/drawing6.xml" ContentType="application/vnd.openxmlformats-officedocument.drawing+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drawings/drawing8.xml" ContentType="application/vnd.openxmlformats-officedocument.drawing+xml"/>
  <Override PartName="/xl/tables/table10.xml" ContentType="application/vnd.openxmlformats-officedocument.spreadsheetml.table+xml"/>
  <Override PartName="/xl/drawings/drawing9.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codeName="ThisWorkbook"/>
  <mc:AlternateContent xmlns:mc="http://schemas.openxmlformats.org/markup-compatibility/2006">
    <mc:Choice Requires="x15">
      <x15ac:absPath xmlns:x15ac="http://schemas.microsoft.com/office/spreadsheetml/2010/11/ac" url="R:\SH-BC\Brenna\2026-2027\New\"/>
    </mc:Choice>
  </mc:AlternateContent>
  <xr:revisionPtr revIDLastSave="1" documentId="8_{564A1686-7EA3-4C3C-9565-D95AF18714AA}" xr6:coauthVersionLast="47" xr6:coauthVersionMax="47" xr10:uidLastSave="{4D28FDB4-28AE-43CB-989E-E911A9C8912C}"/>
  <bookViews>
    <workbookView xWindow="-110" yWindow="-110" windowWidth="19420" windowHeight="11500" tabRatio="752" firstSheet="4" activeTab="4" xr2:uid="{00000000-000D-0000-FFFF-FFFF00000000}"/>
  </bookViews>
  <sheets>
    <sheet name="Original" sheetId="2" state="hidden" r:id="rId1"/>
    <sheet name="Sheet1 (2)" sheetId="3" state="hidden" r:id="rId2"/>
    <sheet name="New Brunswick Undergraduate" sheetId="6" state="hidden" r:id="rId3"/>
    <sheet name="New Brunswick Graduate pg 1." sheetId="4" r:id="rId4"/>
    <sheet name="New Brunswick Graduate pg 2" sheetId="5" r:id="rId5"/>
    <sheet name="Newark undergraduate" sheetId="1" state="hidden" r:id="rId6"/>
    <sheet name="Newark Graduate pg 1" sheetId="15" state="hidden" r:id="rId7"/>
    <sheet name="Newark Graduate pg 2" sheetId="7" state="hidden" r:id="rId8"/>
    <sheet name="Camden Undergrad" sheetId="8" state="hidden" r:id="rId9"/>
    <sheet name="Camden Grad" sheetId="14" state="hidden" r:id="rId10"/>
    <sheet name="Fully Online Undergraduate" sheetId="10" state="hidden" r:id="rId11"/>
    <sheet name="Fully Online Masters" sheetId="11" state="hidden" r:id="rId12"/>
  </sheets>
  <definedNames>
    <definedName name="_xlnm.Print_Area" localSheetId="9">'Camden Grad'!$A$1:$M$43</definedName>
    <definedName name="_xlnm.Print_Area" localSheetId="8">'Camden Undergrad'!$A$1:$H$43</definedName>
    <definedName name="_xlnm.Print_Area" localSheetId="11">'Fully Online Masters'!$A$1:$M$27</definedName>
    <definedName name="_xlnm.Print_Area" localSheetId="10">'Fully Online Undergraduate'!$A$1:$G$26</definedName>
    <definedName name="_xlnm.Print_Area" localSheetId="3">'New Brunswick Graduate pg 1.'!$A$1:$T$47</definedName>
    <definedName name="_xlnm.Print_Area" localSheetId="4">'New Brunswick Graduate pg 2'!$A$1:$Q$46</definedName>
    <definedName name="_xlnm.Print_Area" localSheetId="2">'New Brunswick Undergraduate'!$A$1:$M$43</definedName>
    <definedName name="_xlnm.Print_Area" localSheetId="6">'Newark Graduate pg 1'!$A$1:$P$47</definedName>
    <definedName name="_xlnm.Print_Area" localSheetId="7">'Newark Graduate pg 2'!$A$1:$O$48</definedName>
    <definedName name="_xlnm.Print_Area" localSheetId="5">'Newark undergraduate'!$A$1:$K$43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6" l="1"/>
  <c r="C31" i="6" s="1"/>
  <c r="C30" i="6" s="1"/>
  <c r="C29" i="6" s="1"/>
  <c r="C28" i="6" s="1"/>
  <c r="C27" i="6" s="1"/>
  <c r="C26" i="6" s="1"/>
  <c r="C25" i="6" s="1"/>
  <c r="C24" i="6" s="1"/>
  <c r="C23" i="6" s="1"/>
  <c r="C22" i="6" s="1"/>
  <c r="C21" i="6" s="1"/>
  <c r="C18" i="15" l="1"/>
  <c r="C18" i="14"/>
  <c r="C17" i="14"/>
  <c r="G17" i="6"/>
  <c r="C34" i="7"/>
  <c r="C34" i="4"/>
  <c r="C16" i="14"/>
  <c r="C15" i="14"/>
  <c r="K9" i="5"/>
  <c r="K10" i="5"/>
  <c r="K19" i="4"/>
  <c r="K12" i="4"/>
  <c r="G12" i="4"/>
  <c r="C19" i="4"/>
  <c r="C12" i="4"/>
  <c r="C12" i="5"/>
  <c r="K12" i="5" s="1"/>
  <c r="M19" i="4"/>
  <c r="M12" i="4"/>
  <c r="G9" i="15"/>
  <c r="G10" i="15"/>
  <c r="J17" i="1"/>
  <c r="J10" i="1"/>
  <c r="C11" i="14"/>
  <c r="D18" i="14"/>
  <c r="D11" i="14"/>
  <c r="L18" i="14"/>
  <c r="L11" i="14"/>
  <c r="J18" i="14"/>
  <c r="J11" i="14"/>
  <c r="C10" i="14"/>
  <c r="D17" i="14"/>
  <c r="D10" i="14"/>
  <c r="J17" i="14"/>
  <c r="J10" i="14"/>
  <c r="P11" i="5"/>
  <c r="P10" i="5"/>
  <c r="P9" i="5"/>
  <c r="E8" i="14"/>
  <c r="C19" i="7"/>
  <c r="C18" i="7"/>
  <c r="C12" i="7"/>
  <c r="C11" i="7"/>
  <c r="C19" i="15"/>
  <c r="C12" i="15"/>
  <c r="H19" i="15"/>
  <c r="H12" i="15"/>
  <c r="D19" i="15"/>
  <c r="D18" i="15"/>
  <c r="D12" i="15"/>
  <c r="D11" i="15"/>
  <c r="E19" i="15"/>
  <c r="G19" i="15" s="1"/>
  <c r="E18" i="15"/>
  <c r="E12" i="15"/>
  <c r="G12" i="15" s="1"/>
  <c r="E11" i="15"/>
  <c r="C11" i="15" s="1"/>
  <c r="G11" i="15" s="1"/>
  <c r="D10" i="15"/>
  <c r="C9" i="14" s="1"/>
  <c r="D9" i="15"/>
  <c r="C8" i="14" s="1"/>
  <c r="L17" i="5"/>
  <c r="C20" i="4"/>
  <c r="C13" i="4"/>
  <c r="C19" i="5"/>
  <c r="P19" i="5" s="1"/>
  <c r="C18" i="5"/>
  <c r="P18" i="5" s="1"/>
  <c r="C11" i="5"/>
  <c r="K11" i="5" s="1"/>
  <c r="K10" i="4"/>
  <c r="K9" i="4"/>
  <c r="J18" i="1"/>
  <c r="J11" i="1"/>
  <c r="I18" i="1"/>
  <c r="I11" i="1"/>
  <c r="G18" i="1"/>
  <c r="G11" i="1"/>
  <c r="E18" i="1"/>
  <c r="E11" i="1"/>
  <c r="D11" i="1"/>
  <c r="D18" i="1"/>
  <c r="D17" i="1"/>
  <c r="D10" i="1"/>
  <c r="C18" i="1"/>
  <c r="C17" i="1"/>
  <c r="C11" i="1"/>
  <c r="C10" i="1"/>
  <c r="E9" i="8"/>
  <c r="E8" i="8"/>
  <c r="F18" i="8"/>
  <c r="F17" i="8"/>
  <c r="E18" i="8"/>
  <c r="E11" i="8"/>
  <c r="D11" i="8"/>
  <c r="D18" i="8"/>
  <c r="D17" i="8"/>
  <c r="D10" i="8"/>
  <c r="C11" i="8"/>
  <c r="C18" i="8"/>
  <c r="C17" i="8"/>
  <c r="C10" i="8"/>
  <c r="D9" i="8"/>
  <c r="D8" i="8"/>
  <c r="L18" i="6"/>
  <c r="L11" i="6"/>
  <c r="J18" i="6"/>
  <c r="J11" i="6"/>
  <c r="H17" i="6"/>
  <c r="H10" i="6"/>
  <c r="H18" i="6"/>
  <c r="H11" i="6"/>
  <c r="G18" i="6"/>
  <c r="G11" i="6"/>
  <c r="E18" i="6"/>
  <c r="E11" i="6"/>
  <c r="D18" i="6"/>
  <c r="D11" i="6"/>
  <c r="C19" i="6"/>
  <c r="C12" i="6"/>
  <c r="C18" i="6"/>
  <c r="C17" i="6"/>
  <c r="C11" i="6"/>
  <c r="K11" i="6" s="1"/>
  <c r="C10" i="6"/>
  <c r="L9" i="6"/>
  <c r="L8" i="6"/>
  <c r="J8" i="6"/>
  <c r="I9" i="6"/>
  <c r="I8" i="6"/>
  <c r="H9" i="6"/>
  <c r="H8" i="6"/>
  <c r="G9" i="6"/>
  <c r="G8" i="6"/>
  <c r="F9" i="6"/>
  <c r="F8" i="6"/>
  <c r="D9" i="6"/>
  <c r="D8" i="6"/>
  <c r="C9" i="6"/>
  <c r="C8" i="6"/>
  <c r="C8" i="1"/>
  <c r="C9" i="1"/>
  <c r="P12" i="5" l="1"/>
  <c r="K19" i="5"/>
  <c r="K18" i="5"/>
  <c r="C12" i="14"/>
  <c r="I12" i="14" s="1"/>
  <c r="E9" i="14"/>
  <c r="I15" i="14"/>
  <c r="I8" i="14" s="1"/>
  <c r="F8" i="14"/>
  <c r="J9" i="7"/>
  <c r="D16" i="4" l="1"/>
  <c r="D17" i="4"/>
  <c r="D10" i="7"/>
  <c r="C10" i="7"/>
  <c r="C9" i="7"/>
  <c r="C9" i="15"/>
  <c r="E17" i="15"/>
  <c r="E16" i="15"/>
  <c r="J15" i="14"/>
  <c r="F16" i="14"/>
  <c r="D9" i="14"/>
  <c r="D8" i="14"/>
  <c r="C16" i="8"/>
  <c r="D16" i="8" s="1"/>
  <c r="C15" i="8"/>
  <c r="C9" i="8"/>
  <c r="C8" i="8"/>
  <c r="H16" i="1"/>
  <c r="F16" i="1"/>
  <c r="E16" i="1"/>
  <c r="E15" i="1"/>
  <c r="E8" i="1"/>
  <c r="D16" i="1"/>
  <c r="D15" i="1"/>
  <c r="D9" i="1"/>
  <c r="D8" i="1"/>
  <c r="C16" i="1"/>
  <c r="C15" i="1"/>
  <c r="G18" i="15"/>
  <c r="P12" i="4"/>
  <c r="J12" i="4"/>
  <c r="C18" i="4"/>
  <c r="C11" i="4"/>
  <c r="L17" i="14"/>
  <c r="E17" i="8"/>
  <c r="F11" i="8"/>
  <c r="E17" i="1"/>
  <c r="E10" i="1"/>
  <c r="L10" i="6"/>
  <c r="E8" i="11"/>
  <c r="F9" i="14" l="1"/>
  <c r="I16" i="14"/>
  <c r="I9" i="14" s="1"/>
  <c r="I16" i="4"/>
  <c r="I17" i="4" s="1"/>
  <c r="I19" i="5"/>
  <c r="I18" i="5"/>
  <c r="I12" i="5"/>
  <c r="I11" i="5"/>
  <c r="I10" i="5"/>
  <c r="I9" i="5"/>
  <c r="O20" i="4"/>
  <c r="O19" i="4"/>
  <c r="O18" i="4"/>
  <c r="O13" i="4"/>
  <c r="O12" i="4"/>
  <c r="O11" i="4"/>
  <c r="O10" i="4"/>
  <c r="O9" i="4"/>
  <c r="L10" i="14"/>
  <c r="K17" i="11"/>
  <c r="K15" i="11"/>
  <c r="K13" i="11"/>
  <c r="K11" i="11"/>
  <c r="H16" i="14" l="1"/>
  <c r="H9" i="14" s="1"/>
  <c r="H15" i="14"/>
  <c r="H8" i="14" s="1"/>
  <c r="L16" i="7"/>
  <c r="L17" i="7" s="1"/>
  <c r="L10" i="7" s="1"/>
  <c r="M16" i="7"/>
  <c r="M9" i="7" s="1"/>
  <c r="I9" i="7"/>
  <c r="H10" i="7"/>
  <c r="M10" i="7" s="1"/>
  <c r="H9" i="7"/>
  <c r="G9" i="7"/>
  <c r="F9" i="7"/>
  <c r="E9" i="7"/>
  <c r="H17" i="5"/>
  <c r="H16" i="5"/>
  <c r="G17" i="5"/>
  <c r="G16" i="5"/>
  <c r="D17" i="5"/>
  <c r="F9" i="1"/>
  <c r="F8" i="1"/>
  <c r="J9" i="14"/>
  <c r="E16" i="14"/>
  <c r="H9" i="1"/>
  <c r="H8" i="1"/>
  <c r="S20" i="4"/>
  <c r="S16" i="4"/>
  <c r="S9" i="4" s="1"/>
  <c r="S13" i="4"/>
  <c r="I20" i="4"/>
  <c r="I13" i="4"/>
  <c r="I10" i="4"/>
  <c r="I9" i="4"/>
  <c r="F16" i="8"/>
  <c r="F15" i="8"/>
  <c r="F9" i="8"/>
  <c r="F8" i="8"/>
  <c r="K15" i="6"/>
  <c r="K16" i="6"/>
  <c r="K9" i="6"/>
  <c r="K8" i="6"/>
  <c r="N19" i="4"/>
  <c r="N12" i="4"/>
  <c r="L12" i="4"/>
  <c r="L19" i="4"/>
  <c r="K18" i="4"/>
  <c r="P18" i="4"/>
  <c r="N18" i="4"/>
  <c r="M18" i="4"/>
  <c r="L18" i="4"/>
  <c r="J18" i="4"/>
  <c r="H18" i="4"/>
  <c r="G18" i="4"/>
  <c r="F18" i="4"/>
  <c r="E18" i="4"/>
  <c r="D18" i="4"/>
  <c r="P11" i="4"/>
  <c r="N11" i="4"/>
  <c r="M11" i="4"/>
  <c r="L11" i="4"/>
  <c r="K11" i="4"/>
  <c r="J11" i="4"/>
  <c r="H11" i="4"/>
  <c r="G11" i="4"/>
  <c r="F11" i="4"/>
  <c r="E11" i="4"/>
  <c r="D11" i="4"/>
  <c r="O12" i="5"/>
  <c r="N12" i="5"/>
  <c r="J12" i="5"/>
  <c r="H12" i="5"/>
  <c r="G12" i="5"/>
  <c r="F12" i="5"/>
  <c r="D12" i="5"/>
  <c r="O11" i="5"/>
  <c r="N11" i="5"/>
  <c r="J11" i="5"/>
  <c r="H11" i="5"/>
  <c r="G11" i="5"/>
  <c r="F11" i="5"/>
  <c r="D11" i="5"/>
  <c r="O19" i="5"/>
  <c r="N19" i="5"/>
  <c r="J19" i="5"/>
  <c r="H19" i="5"/>
  <c r="G19" i="5"/>
  <c r="F19" i="5"/>
  <c r="D19" i="5"/>
  <c r="O18" i="5"/>
  <c r="N18" i="5"/>
  <c r="J18" i="5"/>
  <c r="H18" i="5"/>
  <c r="G18" i="5"/>
  <c r="F18" i="5"/>
  <c r="D18" i="5"/>
  <c r="J10" i="6"/>
  <c r="I10" i="6"/>
  <c r="I11" i="6"/>
  <c r="I18" i="6"/>
  <c r="F18" i="6"/>
  <c r="F11" i="6"/>
  <c r="F17" i="6"/>
  <c r="E17" i="6"/>
  <c r="D17" i="6"/>
  <c r="E18" i="7"/>
  <c r="D18" i="7"/>
  <c r="E19" i="7"/>
  <c r="D19" i="7"/>
  <c r="H19" i="7"/>
  <c r="M18" i="7"/>
  <c r="M12" i="7"/>
  <c r="M11" i="7"/>
  <c r="H11" i="15"/>
  <c r="F10" i="8"/>
  <c r="E10" i="8"/>
  <c r="J8" i="14"/>
  <c r="N20" i="4"/>
  <c r="M20" i="4"/>
  <c r="E20" i="4"/>
  <c r="D20" i="4"/>
  <c r="L20" i="4"/>
  <c r="J13" i="4"/>
  <c r="C19" i="8"/>
  <c r="F19" i="8" s="1"/>
  <c r="C12" i="8"/>
  <c r="E12" i="8" s="1"/>
  <c r="C19" i="1"/>
  <c r="I19" i="1" s="1"/>
  <c r="C12" i="1"/>
  <c r="J12" i="1" s="1"/>
  <c r="L19" i="6"/>
  <c r="K19" i="6"/>
  <c r="J19" i="6"/>
  <c r="I19" i="6"/>
  <c r="H19" i="6"/>
  <c r="G19" i="6"/>
  <c r="F19" i="6"/>
  <c r="E19" i="6"/>
  <c r="D19" i="6"/>
  <c r="L12" i="6"/>
  <c r="K12" i="6"/>
  <c r="J12" i="6"/>
  <c r="I12" i="6"/>
  <c r="H12" i="6"/>
  <c r="G12" i="6"/>
  <c r="F12" i="6"/>
  <c r="E12" i="6"/>
  <c r="D12" i="6"/>
  <c r="C34" i="15"/>
  <c r="G14" i="15" s="1"/>
  <c r="L14" i="7"/>
  <c r="D33" i="14"/>
  <c r="L8" i="11"/>
  <c r="G15" i="14"/>
  <c r="M16" i="5"/>
  <c r="M17" i="5" s="1"/>
  <c r="E17" i="5"/>
  <c r="D9" i="5"/>
  <c r="H17" i="15"/>
  <c r="H16" i="15"/>
  <c r="C34" i="5"/>
  <c r="K14" i="5" s="1"/>
  <c r="H13" i="14" l="1"/>
  <c r="I13" i="14"/>
  <c r="G16" i="14"/>
  <c r="G9" i="14" s="1"/>
  <c r="G8" i="14"/>
  <c r="D19" i="8"/>
  <c r="E19" i="8"/>
  <c r="F19" i="1"/>
  <c r="D12" i="8"/>
  <c r="F12" i="8"/>
  <c r="F12" i="1"/>
  <c r="S14" i="4"/>
  <c r="M14" i="7"/>
  <c r="I14" i="4"/>
  <c r="L9" i="7"/>
  <c r="D12" i="7"/>
  <c r="E12" i="7"/>
  <c r="F12" i="7"/>
  <c r="F18" i="7"/>
  <c r="H12" i="7"/>
  <c r="H18" i="7"/>
  <c r="F11" i="7"/>
  <c r="F19" i="7"/>
  <c r="M19" i="7"/>
  <c r="D11" i="7"/>
  <c r="E11" i="7"/>
  <c r="H11" i="7"/>
  <c r="D19" i="1"/>
  <c r="E19" i="1"/>
  <c r="J19" i="1"/>
  <c r="H12" i="1"/>
  <c r="H19" i="1"/>
  <c r="G19" i="1"/>
  <c r="D12" i="1"/>
  <c r="G12" i="1"/>
  <c r="I12" i="1"/>
  <c r="E12" i="1"/>
  <c r="K13" i="4"/>
  <c r="L13" i="4"/>
  <c r="F20" i="4"/>
  <c r="P20" i="4"/>
  <c r="D13" i="4"/>
  <c r="M13" i="4"/>
  <c r="G20" i="4"/>
  <c r="Q20" i="4"/>
  <c r="E13" i="4"/>
  <c r="N13" i="4"/>
  <c r="H20" i="4"/>
  <c r="R20" i="4"/>
  <c r="C19" i="14"/>
  <c r="C20" i="15"/>
  <c r="G20" i="15" s="1"/>
  <c r="C32" i="8"/>
  <c r="F13" i="4"/>
  <c r="P13" i="4"/>
  <c r="J20" i="4"/>
  <c r="G13" i="4"/>
  <c r="Q13" i="4"/>
  <c r="K20" i="4"/>
  <c r="C20" i="5"/>
  <c r="C20" i="7"/>
  <c r="L20" i="7" s="1"/>
  <c r="H13" i="4"/>
  <c r="R13" i="4"/>
  <c r="F8" i="11"/>
  <c r="G8" i="11"/>
  <c r="I8" i="11"/>
  <c r="P20" i="5" l="1"/>
  <c r="K20" i="5"/>
  <c r="H19" i="14"/>
  <c r="I19" i="14"/>
  <c r="I20" i="5"/>
  <c r="D19" i="4"/>
  <c r="P19" i="4" s="1"/>
  <c r="M20" i="7"/>
  <c r="H20" i="15"/>
  <c r="F20" i="15"/>
  <c r="E20" i="15"/>
  <c r="D20" i="15"/>
  <c r="E20" i="7"/>
  <c r="D20" i="7"/>
  <c r="K20" i="7"/>
  <c r="J20" i="7"/>
  <c r="I20" i="7"/>
  <c r="H20" i="7"/>
  <c r="G20" i="7"/>
  <c r="F20" i="7"/>
  <c r="F19" i="14"/>
  <c r="J19" i="14"/>
  <c r="G19" i="14"/>
  <c r="E19" i="14"/>
  <c r="D19" i="14"/>
  <c r="L19" i="14"/>
  <c r="K19" i="14"/>
  <c r="M20" i="5"/>
  <c r="D20" i="5"/>
  <c r="L20" i="5"/>
  <c r="J20" i="5"/>
  <c r="H20" i="5"/>
  <c r="G20" i="5"/>
  <c r="F20" i="5"/>
  <c r="O20" i="5"/>
  <c r="E20" i="5"/>
  <c r="N20" i="5"/>
  <c r="M16" i="4"/>
  <c r="G17" i="4"/>
  <c r="G16" i="4"/>
  <c r="F16" i="4"/>
  <c r="F17" i="4" s="1"/>
  <c r="E17" i="4"/>
  <c r="E16" i="4"/>
  <c r="R16" i="4"/>
  <c r="Q17" i="4"/>
  <c r="D9" i="7"/>
  <c r="K17" i="7"/>
  <c r="J17" i="7"/>
  <c r="J10" i="7" s="1"/>
  <c r="I16" i="7"/>
  <c r="I17" i="7" s="1"/>
  <c r="I10" i="7" s="1"/>
  <c r="G16" i="7"/>
  <c r="G17" i="7" s="1"/>
  <c r="G10" i="7" s="1"/>
  <c r="F16" i="7"/>
  <c r="F17" i="7" s="1"/>
  <c r="F10" i="7" s="1"/>
  <c r="E16" i="7"/>
  <c r="E17" i="7" s="1"/>
  <c r="E10" i="7" s="1"/>
  <c r="D16" i="7"/>
  <c r="F12" i="15"/>
  <c r="F19" i="15"/>
  <c r="H18" i="15"/>
  <c r="F18" i="15"/>
  <c r="F11" i="15"/>
  <c r="L10" i="5"/>
  <c r="M10" i="5" s="1"/>
  <c r="L9" i="5"/>
  <c r="M9" i="5" s="1"/>
  <c r="K17" i="14"/>
  <c r="K10" i="14"/>
  <c r="K11" i="14"/>
  <c r="K18" i="14"/>
  <c r="E18" i="14"/>
  <c r="E17" i="14"/>
  <c r="E11" i="14"/>
  <c r="E10" i="14"/>
  <c r="J16" i="1"/>
  <c r="J15" i="1"/>
  <c r="I16" i="1"/>
  <c r="I15" i="1"/>
  <c r="G16" i="1"/>
  <c r="G15" i="1"/>
  <c r="J9" i="1"/>
  <c r="J8" i="1"/>
  <c r="I9" i="1"/>
  <c r="I8" i="1"/>
  <c r="G8" i="1"/>
  <c r="G9" i="1"/>
  <c r="I10" i="1"/>
  <c r="G10" i="1"/>
  <c r="I17" i="1"/>
  <c r="G17" i="1"/>
  <c r="K18" i="6"/>
  <c r="E16" i="6"/>
  <c r="E15" i="6"/>
  <c r="D10" i="6"/>
  <c r="E10" i="6" s="1"/>
  <c r="F10" i="6" s="1"/>
  <c r="E9" i="6"/>
  <c r="E8" i="6"/>
  <c r="J19" i="4" l="1"/>
  <c r="H19" i="4"/>
  <c r="F19" i="4"/>
  <c r="E19" i="4"/>
  <c r="G19" i="4"/>
  <c r="R17" i="4"/>
  <c r="S17" i="4"/>
  <c r="S10" i="4" s="1"/>
  <c r="I17" i="6"/>
  <c r="J17" i="6"/>
  <c r="K17" i="6"/>
  <c r="L17" i="6"/>
  <c r="K10" i="6"/>
  <c r="E10" i="4"/>
  <c r="E9" i="4"/>
  <c r="K10" i="7" l="1"/>
  <c r="K9" i="7"/>
  <c r="R10" i="4"/>
  <c r="R9" i="4"/>
  <c r="Q10" i="4"/>
  <c r="Q9" i="4"/>
  <c r="F10" i="4"/>
  <c r="F9" i="4"/>
  <c r="N10" i="5"/>
  <c r="N9" i="5"/>
  <c r="O10" i="5"/>
  <c r="O9" i="5"/>
  <c r="E10" i="5"/>
  <c r="E9" i="5"/>
  <c r="C9" i="5"/>
  <c r="I13" i="6"/>
  <c r="H13" i="6"/>
  <c r="G13" i="6"/>
  <c r="F13" i="6"/>
  <c r="E13" i="6"/>
  <c r="D13" i="6"/>
  <c r="E14" i="15"/>
  <c r="I14" i="7"/>
  <c r="F13" i="8"/>
  <c r="J13" i="14"/>
  <c r="N14" i="5" l="1"/>
  <c r="M14" i="5"/>
  <c r="L14" i="5"/>
  <c r="E14" i="7"/>
  <c r="G14" i="7"/>
  <c r="F14" i="7"/>
  <c r="F14" i="5"/>
  <c r="D14" i="4"/>
  <c r="E14" i="4"/>
  <c r="J13" i="6"/>
  <c r="K13" i="6"/>
  <c r="C13" i="6"/>
  <c r="L13" i="6"/>
  <c r="C14" i="5"/>
  <c r="I14" i="5" s="1"/>
  <c r="D14" i="5"/>
  <c r="D14" i="15"/>
  <c r="F14" i="15"/>
  <c r="K13" i="14"/>
  <c r="L13" i="14"/>
  <c r="H14" i="15"/>
  <c r="H14" i="5"/>
  <c r="C14" i="7"/>
  <c r="G14" i="5"/>
  <c r="J14" i="5"/>
  <c r="D14" i="7"/>
  <c r="E14" i="5"/>
  <c r="H14" i="7"/>
  <c r="F14" i="4"/>
  <c r="O14" i="5"/>
  <c r="P14" i="5" s="1"/>
  <c r="J14" i="7"/>
  <c r="C13" i="8"/>
  <c r="K14" i="7"/>
  <c r="D13" i="8"/>
  <c r="E13" i="8"/>
  <c r="C13" i="14"/>
  <c r="D13" i="14"/>
  <c r="E13" i="14" s="1"/>
  <c r="C14" i="15"/>
  <c r="F13" i="14"/>
  <c r="G13" i="14"/>
  <c r="K14" i="4"/>
  <c r="G14" i="4"/>
  <c r="H14" i="4"/>
  <c r="J14" i="4"/>
  <c r="L14" i="4"/>
  <c r="Q14" i="4"/>
  <c r="R14" i="4"/>
  <c r="M14" i="4"/>
  <c r="N14" i="4"/>
  <c r="P14" i="4"/>
  <c r="C14" i="4"/>
  <c r="O14" i="4" l="1"/>
  <c r="C13" i="15"/>
  <c r="G13" i="15" s="1"/>
  <c r="C13" i="5"/>
  <c r="K13" i="5" s="1"/>
  <c r="C13" i="7"/>
  <c r="D32" i="14"/>
  <c r="D31" i="14" s="1"/>
  <c r="D30" i="14" s="1"/>
  <c r="D29" i="14" s="1"/>
  <c r="D28" i="14" s="1"/>
  <c r="D27" i="14" s="1"/>
  <c r="D26" i="14" s="1"/>
  <c r="D25" i="14" s="1"/>
  <c r="D24" i="14" s="1"/>
  <c r="D23" i="14" s="1"/>
  <c r="D22" i="14" s="1"/>
  <c r="D12" i="4" l="1"/>
  <c r="F12" i="4" s="1"/>
  <c r="P13" i="5"/>
  <c r="E12" i="4"/>
  <c r="L13" i="7"/>
  <c r="M13" i="7"/>
  <c r="G13" i="7"/>
  <c r="K13" i="7"/>
  <c r="J13" i="7"/>
  <c r="I13" i="7"/>
  <c r="F13" i="7"/>
  <c r="E13" i="7"/>
  <c r="D13" i="7"/>
  <c r="H13" i="7"/>
  <c r="I13" i="5"/>
  <c r="O13" i="5"/>
  <c r="M13" i="5"/>
  <c r="E13" i="5"/>
  <c r="D13" i="5"/>
  <c r="L13" i="5"/>
  <c r="N13" i="5"/>
  <c r="G13" i="5"/>
  <c r="F13" i="5"/>
  <c r="J13" i="5"/>
  <c r="H13" i="5"/>
  <c r="F13" i="15"/>
  <c r="E13" i="15"/>
  <c r="D13" i="15"/>
  <c r="H13" i="15"/>
  <c r="H12" i="14"/>
  <c r="E12" i="14"/>
  <c r="L12" i="14"/>
  <c r="D12" i="14"/>
  <c r="J12" i="14"/>
  <c r="K12" i="14"/>
  <c r="F12" i="14"/>
  <c r="G12" i="14"/>
  <c r="L8" i="14"/>
  <c r="K8" i="14"/>
  <c r="H9" i="15"/>
  <c r="F9" i="15"/>
  <c r="E9" i="15"/>
  <c r="C33" i="7"/>
  <c r="C32" i="7" s="1"/>
  <c r="C31" i="7" s="1"/>
  <c r="C30" i="7" s="1"/>
  <c r="C29" i="7" s="1"/>
  <c r="C28" i="7" s="1"/>
  <c r="C27" i="7" s="1"/>
  <c r="C26" i="7" s="1"/>
  <c r="C25" i="7" s="1"/>
  <c r="C24" i="7" s="1"/>
  <c r="C23" i="7" s="1"/>
  <c r="M10" i="4"/>
  <c r="M9" i="4"/>
  <c r="N9" i="4"/>
  <c r="P9" i="4"/>
  <c r="L9" i="4"/>
  <c r="J9" i="4"/>
  <c r="H9" i="4"/>
  <c r="G9" i="4"/>
  <c r="D9" i="4"/>
  <c r="C9" i="4"/>
  <c r="H9" i="5"/>
  <c r="H10" i="5"/>
  <c r="G9" i="5"/>
  <c r="G10" i="5"/>
  <c r="F10" i="5"/>
  <c r="F9" i="5"/>
  <c r="D10" i="5"/>
  <c r="J9" i="5"/>
  <c r="J10" i="5"/>
  <c r="H12" i="4" l="1"/>
  <c r="C10" i="5"/>
  <c r="H10" i="15"/>
  <c r="F10" i="15"/>
  <c r="E10" i="15"/>
  <c r="C10" i="15"/>
  <c r="D17" i="10"/>
  <c r="C17" i="10"/>
  <c r="D17" i="11"/>
  <c r="E17" i="11"/>
  <c r="F17" i="11"/>
  <c r="G17" i="11"/>
  <c r="H17" i="11"/>
  <c r="I17" i="11"/>
  <c r="J17" i="11"/>
  <c r="L17" i="11"/>
  <c r="C17" i="11"/>
  <c r="C33" i="15"/>
  <c r="C32" i="15" s="1"/>
  <c r="C31" i="15" s="1"/>
  <c r="C30" i="15" s="1"/>
  <c r="C29" i="15" s="1"/>
  <c r="C28" i="15" s="1"/>
  <c r="C27" i="15" s="1"/>
  <c r="C26" i="15" s="1"/>
  <c r="C25" i="15" s="1"/>
  <c r="C24" i="15" s="1"/>
  <c r="C23" i="15" s="1"/>
  <c r="L9" i="14"/>
  <c r="K9" i="14"/>
  <c r="P10" i="4"/>
  <c r="N10" i="4"/>
  <c r="L10" i="4"/>
  <c r="J10" i="4"/>
  <c r="H10" i="4"/>
  <c r="G10" i="4"/>
  <c r="D10" i="4"/>
  <c r="C10" i="4"/>
  <c r="C31" i="8"/>
  <c r="C30" i="8" s="1"/>
  <c r="C29" i="8" s="1"/>
  <c r="C28" i="8" s="1"/>
  <c r="C27" i="8" s="1"/>
  <c r="C26" i="8" s="1"/>
  <c r="C25" i="8" s="1"/>
  <c r="C24" i="8" s="1"/>
  <c r="C23" i="8" s="1"/>
  <c r="C22" i="8" s="1"/>
  <c r="C21" i="8" s="1"/>
  <c r="C33" i="5"/>
  <c r="C32" i="5" s="1"/>
  <c r="C31" i="5" s="1"/>
  <c r="C30" i="5" s="1"/>
  <c r="C29" i="5" s="1"/>
  <c r="C28" i="5" s="1"/>
  <c r="C27" i="5" s="1"/>
  <c r="C26" i="5" s="1"/>
  <c r="C25" i="5" s="1"/>
  <c r="C24" i="5" s="1"/>
  <c r="C23" i="5" s="1"/>
  <c r="C33" i="4"/>
  <c r="C32" i="4" s="1"/>
  <c r="C31" i="4" s="1"/>
  <c r="C30" i="4" s="1"/>
  <c r="C29" i="4" s="1"/>
  <c r="C28" i="4" s="1"/>
  <c r="C27" i="4" s="1"/>
  <c r="C26" i="4" s="1"/>
  <c r="C25" i="4" s="1"/>
  <c r="C24" i="4" s="1"/>
  <c r="C23" i="4" s="1"/>
  <c r="C32" i="1" l="1"/>
  <c r="D11" i="10"/>
  <c r="D13" i="10"/>
  <c r="D15" i="10"/>
  <c r="C15" i="10"/>
  <c r="D11" i="11"/>
  <c r="E11" i="11"/>
  <c r="F11" i="11"/>
  <c r="G11" i="11"/>
  <c r="H11" i="11"/>
  <c r="I11" i="11"/>
  <c r="J11" i="11"/>
  <c r="L11" i="11"/>
  <c r="D13" i="11"/>
  <c r="E13" i="11"/>
  <c r="F13" i="11"/>
  <c r="G13" i="11"/>
  <c r="H13" i="11"/>
  <c r="I13" i="11"/>
  <c r="J13" i="11"/>
  <c r="L13" i="11"/>
  <c r="D15" i="11"/>
  <c r="E15" i="11"/>
  <c r="F15" i="11"/>
  <c r="G15" i="11"/>
  <c r="H15" i="11"/>
  <c r="I15" i="11"/>
  <c r="J15" i="11"/>
  <c r="L15" i="11"/>
  <c r="C15" i="11"/>
  <c r="C13" i="11"/>
  <c r="C11" i="11"/>
  <c r="C13" i="10"/>
  <c r="C11" i="10"/>
  <c r="F13" i="1" l="1"/>
  <c r="H13" i="1"/>
  <c r="D13" i="1"/>
  <c r="C13" i="1"/>
  <c r="J13" i="1"/>
  <c r="E13" i="1"/>
  <c r="I13" i="1"/>
  <c r="G13" i="1"/>
  <c r="C31" i="1"/>
  <c r="C30" i="1" s="1"/>
  <c r="C29" i="1" s="1"/>
  <c r="C28" i="1" s="1"/>
  <c r="C27" i="1" s="1"/>
  <c r="C26" i="1" s="1"/>
  <c r="C25" i="1" s="1"/>
  <c r="C24" i="1" s="1"/>
  <c r="C23" i="1" s="1"/>
  <c r="C22" i="1" s="1"/>
  <c r="C21" i="1" s="1"/>
</calcChain>
</file>

<file path=xl/sharedStrings.xml><?xml version="1.0" encoding="utf-8"?>
<sst xmlns="http://schemas.openxmlformats.org/spreadsheetml/2006/main" count="867" uniqueCount="294">
  <si>
    <t>SCHOOL</t>
  </si>
  <si>
    <t>EJB SCHOOL</t>
  </si>
  <si>
    <t>SCHOOL OF</t>
  </si>
  <si>
    <t>SCHOOL of</t>
  </si>
  <si>
    <t>of ARTS &amp;</t>
  </si>
  <si>
    <t>MASON</t>
  </si>
  <si>
    <t>of PLANNING &amp;</t>
  </si>
  <si>
    <t>ENVIRONMENTAL</t>
  </si>
  <si>
    <t>BUSINESS</t>
  </si>
  <si>
    <t>MANAGEMENT</t>
  </si>
  <si>
    <r>
      <rPr>
        <b/>
        <u/>
        <sz val="14"/>
        <rFont val="Arial"/>
        <family val="2"/>
      </rPr>
      <t>SCIENCES</t>
    </r>
  </si>
  <si>
    <r>
      <rPr>
        <b/>
        <u/>
        <sz val="14"/>
        <rFont val="Arial"/>
        <family val="2"/>
      </rPr>
      <t>GROSS</t>
    </r>
  </si>
  <si>
    <r>
      <rPr>
        <b/>
        <u/>
        <sz val="14"/>
        <rFont val="Arial"/>
        <family val="2"/>
      </rPr>
      <t>PUBLIC POLICY</t>
    </r>
  </si>
  <si>
    <r>
      <rPr>
        <b/>
        <u/>
        <sz val="14"/>
        <rFont val="Arial"/>
        <family val="2"/>
      </rPr>
      <t>&amp; BIO. SCIENCES</t>
    </r>
  </si>
  <si>
    <r>
      <rPr>
        <b/>
        <u/>
        <sz val="14"/>
        <rFont val="Arial"/>
        <family val="2"/>
      </rPr>
      <t>ENGINEERING</t>
    </r>
  </si>
  <si>
    <r>
      <rPr>
        <b/>
        <u/>
        <sz val="14"/>
        <rFont val="Arial"/>
        <family val="2"/>
      </rPr>
      <t>PHARMACY</t>
    </r>
  </si>
  <si>
    <r>
      <rPr>
        <b/>
        <u/>
        <sz val="14"/>
        <rFont val="Arial"/>
        <family val="2"/>
      </rPr>
      <t>SCHOOL</t>
    </r>
  </si>
  <si>
    <r>
      <rPr>
        <b/>
        <u/>
        <sz val="14"/>
        <rFont val="Arial"/>
        <family val="2"/>
      </rPr>
      <t>&amp; LABOR  RELAT</t>
    </r>
    <r>
      <rPr>
        <b/>
        <sz val="14"/>
        <rFont val="Arial"/>
        <family val="2"/>
      </rPr>
      <t>.</t>
    </r>
  </si>
  <si>
    <r>
      <rPr>
        <b/>
        <u/>
        <sz val="14"/>
        <rFont val="Arial"/>
        <family val="2"/>
      </rPr>
      <t>NURSING</t>
    </r>
  </si>
  <si>
    <t>1st &amp; 2nd Year</t>
  </si>
  <si>
    <t>3rd &amp; 4th Year</t>
  </si>
  <si>
    <t>Column1</t>
  </si>
  <si>
    <t>Column2</t>
  </si>
  <si>
    <t>Column3</t>
  </si>
  <si>
    <t>Column4</t>
  </si>
  <si>
    <t>Column5</t>
  </si>
  <si>
    <t>Column6</t>
  </si>
  <si>
    <t>Column7</t>
  </si>
  <si>
    <t>Column8</t>
  </si>
  <si>
    <t>Column9</t>
  </si>
  <si>
    <t>Column10</t>
  </si>
  <si>
    <t>Column11</t>
  </si>
  <si>
    <t>Column12</t>
  </si>
  <si>
    <t>Column13</t>
  </si>
  <si>
    <t>Column14</t>
  </si>
  <si>
    <t>Column15</t>
  </si>
  <si>
    <t>Column16</t>
  </si>
  <si>
    <r>
      <rPr>
        <b/>
        <u/>
        <sz val="14"/>
        <rFont val="Arial"/>
        <family val="2"/>
      </rPr>
      <t>FULL TIME STUDENTS</t>
    </r>
  </si>
  <si>
    <t>Tuition - New Jersey Residents</t>
  </si>
  <si>
    <t>Tuition - Out of State Residents</t>
  </si>
  <si>
    <t>Campus Fee</t>
  </si>
  <si>
    <r>
      <rPr>
        <b/>
        <vertAlign val="superscript"/>
        <sz val="14"/>
        <rFont val="Arial"/>
        <family val="2"/>
      </rPr>
      <t xml:space="preserve">*       </t>
    </r>
    <r>
      <rPr>
        <sz val="14"/>
        <rFont val="Arial"/>
        <family val="2"/>
      </rPr>
      <t>1,347.00</t>
    </r>
  </si>
  <si>
    <t>School Fee</t>
  </si>
  <si>
    <r>
      <rPr>
        <b/>
        <vertAlign val="superscript"/>
        <sz val="14"/>
        <rFont val="Arial"/>
        <family val="2"/>
      </rPr>
      <t xml:space="preserve">*          </t>
    </r>
    <r>
      <rPr>
        <sz val="14"/>
        <rFont val="Arial"/>
        <family val="2"/>
      </rPr>
      <t>70.50</t>
    </r>
  </si>
  <si>
    <t>Off-Campus Campus Fee</t>
  </si>
  <si>
    <t>Computer Fee</t>
  </si>
  <si>
    <r>
      <rPr>
        <b/>
        <sz val="14"/>
        <rFont val="Arial"/>
        <family val="2"/>
      </rPr>
      <t xml:space="preserve">*     </t>
    </r>
    <r>
      <rPr>
        <sz val="14"/>
        <rFont val="Arial"/>
        <family val="2"/>
      </rPr>
      <t>171.00</t>
    </r>
  </si>
  <si>
    <r>
      <rPr>
        <sz val="14"/>
        <rFont val="Arial"/>
        <family val="2"/>
      </rPr>
      <t xml:space="preserve">NJPIRG Fee </t>
    </r>
    <r>
      <rPr>
        <b/>
        <sz val="11"/>
        <rFont val="Arial"/>
        <family val="2"/>
      </rPr>
      <t>3</t>
    </r>
  </si>
  <si>
    <r>
      <rPr>
        <sz val="14"/>
        <rFont val="Arial"/>
        <family val="2"/>
      </rPr>
      <t xml:space="preserve">Course Fee </t>
    </r>
    <r>
      <rPr>
        <b/>
        <sz val="11"/>
        <rFont val="Arial"/>
        <family val="2"/>
      </rPr>
      <t>4</t>
    </r>
  </si>
  <si>
    <r>
      <rPr>
        <b/>
        <u/>
        <sz val="14"/>
        <rFont val="Arial"/>
        <family val="2"/>
      </rPr>
      <t>PART TIME STUDENTS</t>
    </r>
  </si>
  <si>
    <t>Tuition - per credit, NJ Residents</t>
  </si>
  <si>
    <t>Tuition - per credit, Out of State Residents</t>
  </si>
  <si>
    <r>
      <rPr>
        <b/>
        <sz val="14"/>
        <rFont val="Arial"/>
        <family val="2"/>
      </rPr>
      <t xml:space="preserve">*          </t>
    </r>
    <r>
      <rPr>
        <sz val="14"/>
        <rFont val="Arial"/>
        <family val="2"/>
      </rPr>
      <t>304.50</t>
    </r>
  </si>
  <si>
    <r>
      <rPr>
        <b/>
        <sz val="14"/>
        <rFont val="Arial"/>
        <family val="2"/>
      </rPr>
      <t xml:space="preserve">*           </t>
    </r>
    <r>
      <rPr>
        <sz val="14"/>
        <rFont val="Arial"/>
        <family val="2"/>
      </rPr>
      <t>28.00</t>
    </r>
  </si>
  <si>
    <r>
      <t xml:space="preserve">NJPIRG Fee </t>
    </r>
    <r>
      <rPr>
        <b/>
        <sz val="11"/>
        <rFont val="Arial"/>
        <family val="2"/>
      </rPr>
      <t>3</t>
    </r>
  </si>
  <si>
    <r>
      <t>Course Fee</t>
    </r>
    <r>
      <rPr>
        <sz val="11"/>
        <rFont val="Arial"/>
        <family val="2"/>
      </rPr>
      <t xml:space="preserve"> </t>
    </r>
    <r>
      <rPr>
        <b/>
        <sz val="11"/>
        <rFont val="Arial"/>
        <family val="2"/>
      </rPr>
      <t>4</t>
    </r>
  </si>
  <si>
    <t>Computer Fee - (based on credit hours)</t>
  </si>
  <si>
    <t>*</t>
  </si>
  <si>
    <t>*Credits</t>
  </si>
  <si>
    <t>0-1</t>
  </si>
  <si>
    <t>Notes:</t>
  </si>
  <si>
    <t>Mandatory fees</t>
  </si>
  <si>
    <t>International Students are charged Health Insurance Premium Fees: Basic $230.00, Major Medical $967.00 and a $250.00 International Student Fee for F1 and JI visa holders.</t>
  </si>
  <si>
    <t>Housing rates based on double occupancy and not all of the housing rates are listed here</t>
  </si>
  <si>
    <t>Rates vary depending on campus and school affiliation. For more information, go to the Housing Website at http://ruoncampus.rutgers.edu/.</t>
  </si>
  <si>
    <t>NJPIRG is a voluntary funding item.</t>
  </si>
  <si>
    <t>Full Time</t>
  </si>
  <si>
    <t>Course fees are charged for specific courses, such as chemistry lab kits, biology manuals, and theater tickets.</t>
  </si>
  <si>
    <r>
      <rPr>
        <b/>
        <u/>
        <sz val="14.5"/>
        <rFont val="Arial"/>
        <family val="2"/>
      </rPr>
      <t>FULL TIME STUDENTS</t>
    </r>
  </si>
  <si>
    <r>
      <rPr>
        <b/>
        <vertAlign val="superscript"/>
        <sz val="14.5"/>
        <rFont val="Arial"/>
        <family val="2"/>
      </rPr>
      <t xml:space="preserve">*       </t>
    </r>
    <r>
      <rPr>
        <sz val="14.5"/>
        <rFont val="Arial"/>
        <family val="2"/>
      </rPr>
      <t>1,347.00</t>
    </r>
  </si>
  <si>
    <r>
      <rPr>
        <b/>
        <vertAlign val="superscript"/>
        <sz val="14.5"/>
        <rFont val="Arial"/>
        <family val="2"/>
      </rPr>
      <t xml:space="preserve">*          </t>
    </r>
    <r>
      <rPr>
        <sz val="14.5"/>
        <rFont val="Arial"/>
        <family val="2"/>
      </rPr>
      <t>70.50</t>
    </r>
  </si>
  <si>
    <r>
      <rPr>
        <b/>
        <sz val="14.5"/>
        <rFont val="Arial"/>
        <family val="2"/>
      </rPr>
      <t xml:space="preserve">*     </t>
    </r>
    <r>
      <rPr>
        <sz val="14.5"/>
        <rFont val="Arial"/>
        <family val="2"/>
      </rPr>
      <t>171.00</t>
    </r>
  </si>
  <si>
    <r>
      <t xml:space="preserve">NJPIRG Fee </t>
    </r>
    <r>
      <rPr>
        <b/>
        <sz val="16"/>
        <rFont val="Arial"/>
        <family val="2"/>
      </rPr>
      <t>3</t>
    </r>
  </si>
  <si>
    <r>
      <t xml:space="preserve">Course Fee </t>
    </r>
    <r>
      <rPr>
        <b/>
        <sz val="16"/>
        <rFont val="Arial"/>
        <family val="2"/>
      </rPr>
      <t>4</t>
    </r>
  </si>
  <si>
    <r>
      <rPr>
        <b/>
        <u/>
        <sz val="14.5"/>
        <rFont val="Arial"/>
        <family val="2"/>
      </rPr>
      <t>PART TIME STUDENTS</t>
    </r>
  </si>
  <si>
    <r>
      <rPr>
        <b/>
        <sz val="14.5"/>
        <rFont val="Arial"/>
        <family val="2"/>
      </rPr>
      <t xml:space="preserve">*          </t>
    </r>
    <r>
      <rPr>
        <sz val="14.5"/>
        <rFont val="Arial"/>
        <family val="2"/>
      </rPr>
      <t>304.50</t>
    </r>
  </si>
  <si>
    <r>
      <rPr>
        <b/>
        <sz val="14.5"/>
        <rFont val="Arial"/>
        <family val="2"/>
      </rPr>
      <t xml:space="preserve">*           </t>
    </r>
    <r>
      <rPr>
        <sz val="14.5"/>
        <rFont val="Arial"/>
        <family val="2"/>
      </rPr>
      <t>28.00</t>
    </r>
  </si>
  <si>
    <r>
      <t xml:space="preserve">NJPIRG Fee </t>
    </r>
    <r>
      <rPr>
        <b/>
        <sz val="14.5"/>
        <rFont val="Arial"/>
        <family val="2"/>
      </rPr>
      <t>3</t>
    </r>
  </si>
  <si>
    <r>
      <t xml:space="preserve">Course Fee </t>
    </r>
    <r>
      <rPr>
        <b/>
        <sz val="14.5"/>
        <rFont val="Arial"/>
        <family val="2"/>
      </rPr>
      <t>4</t>
    </r>
  </si>
  <si>
    <t>Rutgers, The State University of New Jersey</t>
  </si>
  <si>
    <t>2026-2027 Tuition &amp; Fees by Semester</t>
  </si>
  <si>
    <t>Undergraduate Schools - New Brunswick</t>
  </si>
  <si>
    <t>ENVIRONMENTAL &amp;</t>
  </si>
  <si>
    <t>MANAGEMENT &amp;</t>
  </si>
  <si>
    <r>
      <rPr>
        <b/>
        <u/>
        <sz val="14"/>
        <color theme="1"/>
        <rFont val="Arial"/>
        <family val="2"/>
      </rPr>
      <t>SCIENCES</t>
    </r>
  </si>
  <si>
    <r>
      <rPr>
        <b/>
        <u/>
        <sz val="14"/>
        <color theme="1"/>
        <rFont val="Arial"/>
        <family val="2"/>
      </rPr>
      <t>GROSS</t>
    </r>
  </si>
  <si>
    <r>
      <rPr>
        <b/>
        <u/>
        <sz val="14"/>
        <color theme="1"/>
        <rFont val="Arial"/>
        <family val="2"/>
      </rPr>
      <t>PUBLIC POLICY</t>
    </r>
  </si>
  <si>
    <t>BIOMEDICAL SCIENCES</t>
  </si>
  <si>
    <r>
      <rPr>
        <b/>
        <u/>
        <sz val="14"/>
        <color theme="1"/>
        <rFont val="Arial"/>
        <family val="2"/>
      </rPr>
      <t>ENGINEERING</t>
    </r>
  </si>
  <si>
    <r>
      <rPr>
        <b/>
        <u/>
        <sz val="14"/>
        <color theme="1"/>
        <rFont val="Arial"/>
        <family val="2"/>
      </rPr>
      <t>PHARMACY</t>
    </r>
  </si>
  <si>
    <r>
      <rPr>
        <b/>
        <u/>
        <sz val="14"/>
        <color theme="1"/>
        <rFont val="Arial"/>
        <family val="2"/>
      </rPr>
      <t>SCHOOL</t>
    </r>
  </si>
  <si>
    <t>LABOR RELATIONS</t>
  </si>
  <si>
    <r>
      <rPr>
        <b/>
        <u/>
        <sz val="14"/>
        <color theme="1"/>
        <rFont val="Arial"/>
        <family val="2"/>
      </rPr>
      <t>NURSING</t>
    </r>
  </si>
  <si>
    <r>
      <rPr>
        <b/>
        <u/>
        <sz val="20"/>
        <rFont val="Arial"/>
        <family val="2"/>
      </rPr>
      <t>FULL TIME STUDENTS</t>
    </r>
  </si>
  <si>
    <t>Student Fee*</t>
  </si>
  <si>
    <t>School Fee*</t>
  </si>
  <si>
    <t>Off-Site Fee</t>
  </si>
  <si>
    <t>Technology Fee*</t>
  </si>
  <si>
    <r>
      <rPr>
        <b/>
        <u/>
        <sz val="20"/>
        <rFont val="Arial"/>
        <family val="2"/>
      </rPr>
      <t>PART TIME STUDENTS</t>
    </r>
  </si>
  <si>
    <t>Technology Fee* - (based on credit hours)</t>
  </si>
  <si>
    <t>See below</t>
  </si>
  <si>
    <t>~Credits</t>
  </si>
  <si>
    <t>NOTES</t>
  </si>
  <si>
    <t>*Mandatory Fees</t>
  </si>
  <si>
    <t>Domestic and international students are charged a Student Health Insurance Plan (SHIP) of  $1,378.00 for Fall and $1,908.00 for Spring.</t>
  </si>
  <si>
    <t>Part-Time International Students are charged a $310.00 Health Services Fee per semester.</t>
  </si>
  <si>
    <t>Course Fees are charged for specific courses, such as chemistry lab kits, biology manuals, and theater tickets.</t>
  </si>
  <si>
    <t>Housing rates can be found online at https://ruoncampus.rutgers.edu/housing-info/rates-and-billing</t>
  </si>
  <si>
    <t>Dining rates can be found online at https://food.rutgers.edu/meal-plans</t>
  </si>
  <si>
    <t>Graduate</t>
  </si>
  <si>
    <t>EJB</t>
  </si>
  <si>
    <t>SMLR</t>
  </si>
  <si>
    <t>Graduate Schools - New Brunswick</t>
  </si>
  <si>
    <t>Mason Gross</t>
  </si>
  <si>
    <t>School of</t>
  </si>
  <si>
    <t>School of Education</t>
  </si>
  <si>
    <t>School of Applied &amp;</t>
  </si>
  <si>
    <t xml:space="preserve"> Grad School of</t>
  </si>
  <si>
    <t>Master of Health</t>
  </si>
  <si>
    <t>Doctor of Health</t>
  </si>
  <si>
    <t>Human Resource</t>
  </si>
  <si>
    <t>Labor Employment Relations</t>
  </si>
  <si>
    <t>All Graduate</t>
  </si>
  <si>
    <t>School of Arts</t>
  </si>
  <si>
    <t>Education</t>
  </si>
  <si>
    <t>Certificate Athletic Coaching</t>
  </si>
  <si>
    <t>Certificate Adult Continuing Education</t>
  </si>
  <si>
    <t>Communication &amp; Information</t>
  </si>
  <si>
    <t>&amp; Professional Psychology</t>
  </si>
  <si>
    <t>&amp; Professional Psychology MTSS Program</t>
  </si>
  <si>
    <t>Social Work</t>
  </si>
  <si>
    <t>Planning &amp; Public Policy</t>
  </si>
  <si>
    <t>Administration</t>
  </si>
  <si>
    <t>Management &amp; Labor Relations</t>
  </si>
  <si>
    <t>Management Online</t>
  </si>
  <si>
    <t>Online</t>
  </si>
  <si>
    <t>Online Certificate Programs</t>
  </si>
  <si>
    <t>5th &amp; 6th Year</t>
  </si>
  <si>
    <t>PHD</t>
  </si>
  <si>
    <t>Column43</t>
  </si>
  <si>
    <t>Column42</t>
  </si>
  <si>
    <t>Column62</t>
  </si>
  <si>
    <t>Column82</t>
  </si>
  <si>
    <t>Column92</t>
  </si>
  <si>
    <t>Column922</t>
  </si>
  <si>
    <t>Column122</t>
  </si>
  <si>
    <r>
      <t xml:space="preserve">Tuition - New Jersey Residents          </t>
    </r>
    <r>
      <rPr>
        <sz val="20"/>
        <rFont val="Arial"/>
        <family val="2"/>
      </rPr>
      <t xml:space="preserve"> </t>
    </r>
    <r>
      <rPr>
        <sz val="14"/>
        <rFont val="Arial"/>
        <family val="2"/>
      </rPr>
      <t>(12 credits or more)</t>
    </r>
  </si>
  <si>
    <r>
      <t xml:space="preserve">Tuition - Out of State Residents                      </t>
    </r>
    <r>
      <rPr>
        <sz val="14"/>
        <rFont val="Arial"/>
        <family val="2"/>
      </rPr>
      <t xml:space="preserve"> (12 credits or more)</t>
    </r>
  </si>
  <si>
    <t>Matriculation Continued                    (no tuition charge)</t>
  </si>
  <si>
    <t>Notes</t>
  </si>
  <si>
    <t>*Mandatory fees</t>
  </si>
  <si>
    <t xml:space="preserve">For all NB Graduate Schools, nine credits is considered full-time for the purpose of assessing fees. Full-time student, school, and technology fees are assessed at nine credits. </t>
  </si>
  <si>
    <t>Tuition is charged per credit up to a maximum of twelve credits except for pharmacy which is billed a flat rate at twelve credits.</t>
  </si>
  <si>
    <t>Domestic and International Students are charged a Student Health Insurance Plan (SHIP) of $1,378.00 for Fall and $1,908.00 for Spring.</t>
  </si>
  <si>
    <t>Graduate students with appointment as teaching assistants, graduate assistants &amp; graduate fellows, who receive tuition remission funded through research grants, training grants, or Rutgers resources shall be billed tuition at the in-state rate for their degree program.</t>
  </si>
  <si>
    <t>GS - NB</t>
  </si>
  <si>
    <t>GS-NB</t>
  </si>
  <si>
    <t xml:space="preserve">GS - NB </t>
  </si>
  <si>
    <t>Graduate Studies</t>
  </si>
  <si>
    <t>Masters in</t>
  </si>
  <si>
    <t>Master of Business</t>
  </si>
  <si>
    <t>Masters in Mathematical</t>
  </si>
  <si>
    <t>Financial Statistics &amp;</t>
  </si>
  <si>
    <t>Masters in Data</t>
  </si>
  <si>
    <t>MS FinTech</t>
  </si>
  <si>
    <t xml:space="preserve">Masters in </t>
  </si>
  <si>
    <t>Industrial &amp; Systems</t>
  </si>
  <si>
    <t>Mechanical &amp; Aerospace</t>
  </si>
  <si>
    <t>Nursing</t>
  </si>
  <si>
    <t>NB (GS-NB)</t>
  </si>
  <si>
    <t>Business Science</t>
  </si>
  <si>
    <t>Science (online)</t>
  </si>
  <si>
    <t>Finance</t>
  </si>
  <si>
    <t>Risk Management</t>
  </si>
  <si>
    <t>Science</t>
  </si>
  <si>
    <t>Analytics</t>
  </si>
  <si>
    <t>Engineering</t>
  </si>
  <si>
    <t>Engineering (Online)</t>
  </si>
  <si>
    <t>PHARMACY PHD</t>
  </si>
  <si>
    <t>GENETIC COUNSELING</t>
  </si>
  <si>
    <t>Prog &amp; Inter</t>
  </si>
  <si>
    <t>Column823</t>
  </si>
  <si>
    <t>Column85</t>
  </si>
  <si>
    <t>Column84</t>
  </si>
  <si>
    <t>Column83</t>
  </si>
  <si>
    <t>Column822</t>
  </si>
  <si>
    <t>Column824</t>
  </si>
  <si>
    <r>
      <rPr>
        <sz val="18"/>
        <color rgb="FF000000"/>
        <rFont val="Arial"/>
      </rPr>
      <t xml:space="preserve">Matriculation Continued -  </t>
    </r>
    <r>
      <rPr>
        <i/>
        <sz val="16"/>
        <color rgb="FF000000"/>
        <rFont val="Arial"/>
      </rPr>
      <t>(no tuition charge)</t>
    </r>
  </si>
  <si>
    <t>Technology Fee* -                               (based on credit hours)</t>
  </si>
  <si>
    <t>Business</t>
  </si>
  <si>
    <t>Public Affairs</t>
  </si>
  <si>
    <t>ARTS &amp;</t>
  </si>
  <si>
    <t>School</t>
  </si>
  <si>
    <t>&amp; Admin</t>
  </si>
  <si>
    <t>Criminal</t>
  </si>
  <si>
    <t>University</t>
  </si>
  <si>
    <t>Undergraduate Schools - Newark</t>
  </si>
  <si>
    <t>Gen Programs</t>
  </si>
  <si>
    <t>Bachelor of Art</t>
  </si>
  <si>
    <t>Justice</t>
  </si>
  <si>
    <t>College</t>
  </si>
  <si>
    <t>Column52</t>
  </si>
  <si>
    <r>
      <t xml:space="preserve">Tuition - New Jersey Residents                 </t>
    </r>
    <r>
      <rPr>
        <i/>
        <sz val="16"/>
        <rFont val="Arial"/>
        <family val="2"/>
      </rPr>
      <t>(12 credits or more)</t>
    </r>
  </si>
  <si>
    <r>
      <t xml:space="preserve">Tuition - Out of State Residents         </t>
    </r>
    <r>
      <rPr>
        <i/>
        <sz val="16"/>
        <rFont val="Arial"/>
        <family val="2"/>
      </rPr>
      <t xml:space="preserve">        (12 credits or more)</t>
    </r>
  </si>
  <si>
    <t>Student Fee</t>
  </si>
  <si>
    <t>Technology Fee</t>
  </si>
  <si>
    <t>Technology Fee                                      - (based on credit hours)</t>
  </si>
  <si>
    <t>Housing rates can be found online at https://go.rutgers.edu/newark-housing</t>
  </si>
  <si>
    <t>Dining rates can be found online at https://go.rutgers.edu/newark-mealplans</t>
  </si>
  <si>
    <t>Public</t>
  </si>
  <si>
    <t>Graduate Schools - Newark</t>
  </si>
  <si>
    <t>Affairs</t>
  </si>
  <si>
    <t>Law</t>
  </si>
  <si>
    <t>School Master in</t>
  </si>
  <si>
    <t xml:space="preserve">School </t>
  </si>
  <si>
    <t>Admin</t>
  </si>
  <si>
    <t>PhD Nursing</t>
  </si>
  <si>
    <t>Column112</t>
  </si>
  <si>
    <t>Matriculation Continued</t>
  </si>
  <si>
    <t>For all Newark Graduate schools except Law, nine credits is considered full-time for the purpose of assessing fees.</t>
  </si>
  <si>
    <t>Full-time student, school, and technology fees are assessed at nine credits.</t>
  </si>
  <si>
    <t>Law school is full-time at 12 credits. Tuition is charged per credit up to a maximum of 12 credits.</t>
  </si>
  <si>
    <t xml:space="preserve">Graduate students with appointments as teaching assistants, graduate assistants and graduate fellows, who receive tuition remission funded through research grants, training grants, or Rutgers University resources shall be billed tuition at the in-state rate for their degree program. </t>
  </si>
  <si>
    <t>Rutgers</t>
  </si>
  <si>
    <t>Master of</t>
  </si>
  <si>
    <t>RBS</t>
  </si>
  <si>
    <t xml:space="preserve">Doctorate of </t>
  </si>
  <si>
    <t>RBS- Master</t>
  </si>
  <si>
    <t>Quantitative</t>
  </si>
  <si>
    <t>Executive</t>
  </si>
  <si>
    <t>Digital</t>
  </si>
  <si>
    <t>Business Information</t>
  </si>
  <si>
    <t>of Accountancy in</t>
  </si>
  <si>
    <t>of Acct in</t>
  </si>
  <si>
    <t>Supply Chain</t>
  </si>
  <si>
    <t>of Accountancy</t>
  </si>
  <si>
    <t>Finance RBS</t>
  </si>
  <si>
    <t>MBA</t>
  </si>
  <si>
    <t>Marketing Online</t>
  </si>
  <si>
    <t>Technology</t>
  </si>
  <si>
    <t>Professional Online</t>
  </si>
  <si>
    <t>Government Online</t>
  </si>
  <si>
    <r>
      <rPr>
        <b/>
        <u/>
        <sz val="14"/>
        <color theme="1"/>
        <rFont val="Arial"/>
        <family val="2"/>
      </rPr>
      <t>Accounting and Analytics</t>
    </r>
    <r>
      <rPr>
        <b/>
        <sz val="14"/>
        <color theme="1"/>
        <rFont val="Arial"/>
        <family val="2"/>
      </rPr>
      <t xml:space="preserve"> </t>
    </r>
    <r>
      <rPr>
        <b/>
        <u/>
        <sz val="14"/>
        <color theme="1"/>
        <rFont val="Arial"/>
        <family val="2"/>
      </rPr>
      <t>Online</t>
    </r>
  </si>
  <si>
    <t>Accounting and Analytics</t>
  </si>
  <si>
    <t>Column842</t>
  </si>
  <si>
    <t>Column632</t>
  </si>
  <si>
    <t>Column63</t>
  </si>
  <si>
    <t>Camden</t>
  </si>
  <si>
    <t>Undergraduate Schools - Camden</t>
  </si>
  <si>
    <t>College of</t>
  </si>
  <si>
    <t>Arts/Science</t>
  </si>
  <si>
    <t>of Nursing</t>
  </si>
  <si>
    <t>Off-Site Fee - Undergraduate</t>
  </si>
  <si>
    <t>Technology Fee*                                      - (based on credit hours)</t>
  </si>
  <si>
    <t>Housing rates can be found online at https://camden.rutgers.edu/housing/rates</t>
  </si>
  <si>
    <t>Dining rates can be found online at https://rucamden.mydininghub.com/en/meal-plans</t>
  </si>
  <si>
    <t>MS IN</t>
  </si>
  <si>
    <t>Graduate Schools - Camden</t>
  </si>
  <si>
    <t>Professional</t>
  </si>
  <si>
    <t xml:space="preserve">Online Master of </t>
  </si>
  <si>
    <t>Wealth Management</t>
  </si>
  <si>
    <t>Accounting</t>
  </si>
  <si>
    <t>NURSING School</t>
  </si>
  <si>
    <t>MSBA Online</t>
  </si>
  <si>
    <t>Column923</t>
  </si>
  <si>
    <t>Column9222</t>
  </si>
  <si>
    <t>Column9223</t>
  </si>
  <si>
    <t>Off-Site Fee - Graduate</t>
  </si>
  <si>
    <t xml:space="preserve">All Other </t>
  </si>
  <si>
    <t>Select Fully Online Degree Programs - Undergraduate</t>
  </si>
  <si>
    <t xml:space="preserve">School of </t>
  </si>
  <si>
    <t xml:space="preserve">Undergraduate </t>
  </si>
  <si>
    <t>Programs</t>
  </si>
  <si>
    <t>Part Time/Full Time Students</t>
  </si>
  <si>
    <t>Tuition - per credit</t>
  </si>
  <si>
    <t>Example:</t>
  </si>
  <si>
    <t>Tuition - one 3 credit course</t>
  </si>
  <si>
    <t>Tuition - 6 credits</t>
  </si>
  <si>
    <t>Tuition - 9 credits</t>
  </si>
  <si>
    <t>Tuition - 12 credits</t>
  </si>
  <si>
    <t>Rutgers University staff cannot use their tuition remission benefits to pay for the fully online bachelor's degree program.</t>
  </si>
  <si>
    <t>Rutgers University staff will need to pay for this course out of pocket.</t>
  </si>
  <si>
    <t>Unemployment waivers are not accepted for this program.</t>
  </si>
  <si>
    <t xml:space="preserve">School   </t>
  </si>
  <si>
    <t>Select Fully Online Degree Programs - Graduate</t>
  </si>
  <si>
    <t>of Criminal</t>
  </si>
  <si>
    <t>Creative &amp; Performing Arts</t>
  </si>
  <si>
    <t>New Brunswick</t>
  </si>
  <si>
    <t>&amp; Administration</t>
  </si>
  <si>
    <t>MBA Online</t>
  </si>
  <si>
    <t>Column72</t>
  </si>
  <si>
    <t>Column102</t>
  </si>
  <si>
    <t>PART TIME STUDENTS</t>
  </si>
  <si>
    <t>EXAMPLES: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</si>
</sst>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0.00"/>
  </numFmts>
  <fonts count="68">
    <font>
      <sz val="11"/>
      <color theme="1"/>
      <name val="Calibri"/>
      <family val="2"/>
      <scheme val="minor"/>
    </font>
    <font>
      <b/>
      <sz val="14"/>
      <name val="Arial"/>
      <family val="2"/>
    </font>
    <font>
      <sz val="14"/>
      <color rgb="FF000000"/>
      <name val="Times New Roman"/>
      <family val="1"/>
    </font>
    <font>
      <b/>
      <sz val="14"/>
      <color rgb="FF000000"/>
      <name val="Arial"/>
      <family val="2"/>
    </font>
    <font>
      <b/>
      <u/>
      <sz val="14"/>
      <name val="Arial"/>
      <family val="2"/>
    </font>
    <font>
      <b/>
      <sz val="12"/>
      <name val="Arial"/>
      <family val="2"/>
    </font>
    <font>
      <b/>
      <sz val="12"/>
      <color rgb="FF000000"/>
      <name val="Arial"/>
      <family val="2"/>
    </font>
    <font>
      <sz val="14"/>
      <name val="Arial"/>
      <family val="2"/>
    </font>
    <font>
      <sz val="14"/>
      <color rgb="FF000000"/>
      <name val="Arial"/>
      <family val="2"/>
    </font>
    <font>
      <b/>
      <vertAlign val="superscript"/>
      <sz val="14"/>
      <name val="Arial"/>
      <family val="2"/>
    </font>
    <font>
      <b/>
      <sz val="11"/>
      <name val="Arial"/>
      <family val="2"/>
    </font>
    <font>
      <sz val="11"/>
      <name val="Arial"/>
      <family val="2"/>
    </font>
    <font>
      <b/>
      <u/>
      <sz val="12"/>
      <color rgb="FF000000"/>
      <name val="Arial"/>
      <family val="2"/>
    </font>
    <font>
      <sz val="14"/>
      <color theme="1"/>
      <name val="Calibri"/>
      <family val="2"/>
      <scheme val="minor"/>
    </font>
    <font>
      <b/>
      <sz val="16"/>
      <name val="Arial"/>
      <family val="2"/>
    </font>
    <font>
      <sz val="16"/>
      <name val="Arial"/>
      <family val="2"/>
    </font>
    <font>
      <sz val="16"/>
      <color theme="1"/>
      <name val="Calibri"/>
      <family val="2"/>
      <scheme val="minor"/>
    </font>
    <font>
      <b/>
      <sz val="16"/>
      <color rgb="FF000000"/>
      <name val="Arial"/>
      <family val="2"/>
    </font>
    <font>
      <b/>
      <sz val="14.5"/>
      <name val="Arial"/>
      <family val="2"/>
    </font>
    <font>
      <b/>
      <u/>
      <sz val="14.5"/>
      <name val="Arial"/>
      <family val="2"/>
    </font>
    <font>
      <sz val="14.5"/>
      <name val="Arial"/>
      <family val="2"/>
    </font>
    <font>
      <sz val="14.5"/>
      <color rgb="FF000000"/>
      <name val="Times New Roman"/>
      <family val="1"/>
    </font>
    <font>
      <sz val="14.5"/>
      <color theme="1"/>
      <name val="Calibri"/>
      <family val="2"/>
      <scheme val="minor"/>
    </font>
    <font>
      <b/>
      <sz val="14.5"/>
      <color rgb="FF000000"/>
      <name val="Arial"/>
      <family val="2"/>
    </font>
    <font>
      <sz val="14.5"/>
      <color rgb="FF000000"/>
      <name val="Arial"/>
      <family val="2"/>
    </font>
    <font>
      <b/>
      <vertAlign val="superscript"/>
      <sz val="14.5"/>
      <name val="Arial"/>
      <family val="2"/>
    </font>
    <font>
      <b/>
      <u/>
      <sz val="14"/>
      <color rgb="FF000000"/>
      <name val="Arial"/>
      <family val="2"/>
    </font>
    <font>
      <sz val="11"/>
      <color theme="0"/>
      <name val="Calibri"/>
      <family val="2"/>
      <scheme val="minor"/>
    </font>
    <font>
      <b/>
      <sz val="14"/>
      <color rgb="FFFF0000"/>
      <name val="Arial"/>
      <family val="2"/>
    </font>
    <font>
      <b/>
      <sz val="14"/>
      <color theme="1"/>
      <name val="Arial"/>
      <family val="2"/>
    </font>
    <font>
      <sz val="14"/>
      <color theme="1"/>
      <name val="Times New Roman"/>
      <family val="1"/>
    </font>
    <font>
      <b/>
      <u/>
      <sz val="14"/>
      <color theme="1"/>
      <name val="Arial"/>
      <family val="2"/>
    </font>
    <font>
      <b/>
      <sz val="12"/>
      <color theme="1"/>
      <name val="Arial"/>
      <family val="2"/>
    </font>
    <font>
      <b/>
      <sz val="20"/>
      <name val="Arial"/>
      <family val="2"/>
    </font>
    <font>
      <b/>
      <u/>
      <sz val="20"/>
      <name val="Arial"/>
      <family val="2"/>
    </font>
    <font>
      <b/>
      <sz val="18"/>
      <name val="Arial"/>
      <family val="2"/>
    </font>
    <font>
      <sz val="18"/>
      <name val="Arial"/>
      <family val="2"/>
    </font>
    <font>
      <sz val="18"/>
      <color theme="1"/>
      <name val="Calibri"/>
      <family val="2"/>
      <scheme val="minor"/>
    </font>
    <font>
      <sz val="18"/>
      <color rgb="FF000000"/>
      <name val="Arial"/>
      <family val="2"/>
    </font>
    <font>
      <sz val="18"/>
      <color rgb="FF000000"/>
      <name val="Times New Roman"/>
      <family val="1"/>
    </font>
    <font>
      <b/>
      <sz val="20"/>
      <color rgb="FF000000"/>
      <name val="Arial"/>
      <family val="2"/>
    </font>
    <font>
      <sz val="20"/>
      <name val="Arial"/>
      <family val="2"/>
    </font>
    <font>
      <i/>
      <sz val="16"/>
      <name val="Arial"/>
      <family val="2"/>
    </font>
    <font>
      <b/>
      <sz val="18"/>
      <color rgb="FF000000"/>
      <name val="Times New Roman"/>
      <family val="1"/>
    </font>
    <font>
      <sz val="8"/>
      <name val="Calibri"/>
      <family val="2"/>
      <scheme val="minor"/>
    </font>
    <font>
      <sz val="10"/>
      <name val="Arial"/>
      <family val="2"/>
    </font>
    <font>
      <b/>
      <u/>
      <sz val="18"/>
      <name val="Arial"/>
      <family val="2"/>
    </font>
    <font>
      <sz val="11"/>
      <color theme="1"/>
      <name val="Calibri"/>
      <family val="2"/>
      <scheme val="minor"/>
    </font>
    <font>
      <sz val="11"/>
      <name val="Calibri"/>
      <family val="2"/>
      <scheme val="minor"/>
    </font>
    <font>
      <sz val="18"/>
      <color theme="1"/>
      <name val="Arial"/>
      <family val="2"/>
    </font>
    <font>
      <sz val="11"/>
      <color theme="1"/>
      <name val="Arial"/>
      <family val="2"/>
    </font>
    <font>
      <sz val="11"/>
      <color theme="0"/>
      <name val="Arial"/>
      <family val="2"/>
    </font>
    <font>
      <sz val="11"/>
      <color rgb="FFCC0033"/>
      <name val="Arial"/>
      <family val="2"/>
    </font>
    <font>
      <sz val="14"/>
      <color theme="1"/>
      <name val="Arial"/>
      <family val="2"/>
    </font>
    <font>
      <sz val="12"/>
      <color theme="1"/>
      <name val="Arial"/>
      <family val="2"/>
    </font>
    <font>
      <sz val="16"/>
      <color theme="1"/>
      <name val="Arial"/>
      <family val="2"/>
    </font>
    <font>
      <b/>
      <sz val="11"/>
      <color theme="1"/>
      <name val="Arial"/>
      <family val="2"/>
    </font>
    <font>
      <b/>
      <sz val="18"/>
      <color rgb="FF000000"/>
      <name val="Arial"/>
      <family val="2"/>
    </font>
    <font>
      <sz val="12"/>
      <name val="Arial"/>
      <family val="2"/>
    </font>
    <font>
      <vertAlign val="superscript"/>
      <sz val="12"/>
      <name val="Arial"/>
      <family val="2"/>
    </font>
    <font>
      <sz val="11"/>
      <color theme="2" tint="-0.499984740745262"/>
      <name val="Calibri"/>
      <family val="2"/>
      <scheme val="minor"/>
    </font>
    <font>
      <b/>
      <sz val="14"/>
      <color theme="0" tint="-0.499984740745262"/>
      <name val="Arial"/>
      <family val="2"/>
    </font>
    <font>
      <b/>
      <sz val="12"/>
      <color theme="2" tint="-0.499984740745262"/>
      <name val="Arial"/>
      <family val="2"/>
    </font>
    <font>
      <sz val="14"/>
      <color rgb="FFED0000"/>
      <name val="Times New Roman"/>
      <family val="1"/>
    </font>
    <font>
      <sz val="11"/>
      <color theme="2" tint="-0.499984740745262"/>
      <name val="Arial"/>
      <family val="2"/>
    </font>
    <font>
      <sz val="14"/>
      <color rgb="FFED0000"/>
      <name val="Arial"/>
      <family val="2"/>
    </font>
    <font>
      <sz val="18"/>
      <color rgb="FF000000"/>
      <name val="Arial"/>
    </font>
    <font>
      <i/>
      <sz val="16"/>
      <color rgb="FF000000"/>
      <name val="Arial"/>
    </font>
  </fonts>
  <fills count="8">
    <fill>
      <patternFill patternType="none"/>
    </fill>
    <fill>
      <patternFill patternType="gray125"/>
    </fill>
    <fill>
      <patternFill patternType="solid">
        <fgColor rgb="FFCC003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2"/>
        <bgColor theme="0" tint="-0.14999847407452621"/>
      </patternFill>
    </fill>
  </fills>
  <borders count="14">
    <border>
      <left/>
      <right/>
      <top/>
      <bottom/>
      <diagonal/>
    </border>
    <border>
      <left style="thin">
        <color theme="1"/>
      </left>
      <right style="thin">
        <color theme="1"/>
      </right>
      <top style="thin">
        <color theme="1"/>
      </top>
      <bottom style="thin">
        <color theme="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45" fillId="0" borderId="0"/>
    <xf numFmtId="9" fontId="45" fillId="0" borderId="0" applyFont="0" applyFill="0" applyBorder="0" applyAlignment="0" applyProtection="0"/>
    <xf numFmtId="43" fontId="47" fillId="0" borderId="0" applyFont="0" applyFill="0" applyBorder="0" applyAlignment="0" applyProtection="0"/>
    <xf numFmtId="44" fontId="47" fillId="0" borderId="0" applyFont="0" applyFill="0" applyBorder="0" applyAlignment="0" applyProtection="0"/>
  </cellStyleXfs>
  <cellXfs count="290">
    <xf numFmtId="0" fontId="0" fillId="0" borderId="0" xfId="0"/>
    <xf numFmtId="0" fontId="0" fillId="0" borderId="0" xfId="0" applyAlignment="1">
      <alignment horizontal="left" vertical="top"/>
    </xf>
    <xf numFmtId="164" fontId="3" fillId="0" borderId="0" xfId="0" applyNumberFormat="1" applyFont="1" applyAlignment="1">
      <alignment horizontal="center" vertical="top" shrinkToFit="1"/>
    </xf>
    <xf numFmtId="1" fontId="3" fillId="0" borderId="0" xfId="0" applyNumberFormat="1" applyFont="1" applyAlignment="1">
      <alignment horizontal="center" vertical="top" shrinkToFit="1"/>
    </xf>
    <xf numFmtId="0" fontId="2" fillId="0" borderId="0" xfId="0" applyFont="1" applyAlignment="1">
      <alignment horizontal="center" wrapText="1"/>
    </xf>
    <xf numFmtId="0" fontId="0" fillId="0" borderId="0" xfId="0" applyAlignment="1">
      <alignment horizontal="left" wrapText="1"/>
    </xf>
    <xf numFmtId="0" fontId="5" fillId="0" borderId="0" xfId="0" applyFont="1" applyAlignment="1">
      <alignment horizontal="center" vertical="top" wrapText="1"/>
    </xf>
    <xf numFmtId="0" fontId="1" fillId="0" borderId="0" xfId="0" applyFont="1" applyAlignment="1">
      <alignment horizontal="left" vertical="top" wrapText="1"/>
    </xf>
    <xf numFmtId="0" fontId="6" fillId="0" borderId="0" xfId="0" applyFont="1" applyAlignment="1">
      <alignment horizontal="left" vertical="top"/>
    </xf>
    <xf numFmtId="0" fontId="7" fillId="0" borderId="0" xfId="0" applyFont="1" applyAlignment="1">
      <alignment horizontal="left" wrapText="1"/>
    </xf>
    <xf numFmtId="0" fontId="0" fillId="0" borderId="0" xfId="0" applyAlignment="1">
      <alignment horizontal="center" wrapText="1"/>
    </xf>
    <xf numFmtId="165" fontId="8" fillId="0" borderId="0" xfId="0" applyNumberFormat="1" applyFont="1" applyAlignment="1">
      <alignment horizontal="center" shrinkToFit="1"/>
    </xf>
    <xf numFmtId="0" fontId="6" fillId="0" borderId="0" xfId="0" applyFont="1" applyAlignment="1">
      <alignment horizontal="center"/>
    </xf>
    <xf numFmtId="0" fontId="0" fillId="0" borderId="0" xfId="0" applyAlignment="1">
      <alignment horizontal="center"/>
    </xf>
    <xf numFmtId="4" fontId="8" fillId="0" borderId="0" xfId="0" applyNumberFormat="1" applyFont="1" applyAlignment="1">
      <alignment horizontal="center" wrapText="1" shrinkToFit="1"/>
    </xf>
    <xf numFmtId="4" fontId="8" fillId="0" borderId="0" xfId="0" applyNumberFormat="1" applyFont="1" applyAlignment="1">
      <alignment horizontal="center" shrinkToFit="1"/>
    </xf>
    <xf numFmtId="2" fontId="8" fillId="0" borderId="0" xfId="0" applyNumberFormat="1" applyFont="1" applyAlignment="1">
      <alignment horizontal="center" shrinkToFit="1"/>
    </xf>
    <xf numFmtId="2" fontId="8" fillId="0" borderId="0" xfId="0" applyNumberFormat="1" applyFont="1" applyAlignment="1">
      <alignment horizontal="right" shrinkToFit="1"/>
    </xf>
    <xf numFmtId="0" fontId="2" fillId="0" borderId="0" xfId="0" applyFont="1" applyAlignment="1">
      <alignment horizontal="left" wrapText="1"/>
    </xf>
    <xf numFmtId="0" fontId="6" fillId="0" borderId="0" xfId="0" applyFont="1" applyAlignment="1">
      <alignment horizontal="left"/>
    </xf>
    <xf numFmtId="0" fontId="0" fillId="0" borderId="0" xfId="0" applyAlignment="1">
      <alignment horizontal="left"/>
    </xf>
    <xf numFmtId="0" fontId="7" fillId="0" borderId="0" xfId="0" applyFont="1" applyAlignment="1">
      <alignment horizontal="center" wrapText="1"/>
    </xf>
    <xf numFmtId="2" fontId="8" fillId="0" borderId="0" xfId="0" applyNumberFormat="1" applyFont="1" applyAlignment="1">
      <alignment horizontal="center" wrapText="1" shrinkToFi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7" fillId="0" borderId="0" xfId="0" applyFont="1" applyAlignment="1">
      <alignment wrapText="1"/>
    </xf>
    <xf numFmtId="2" fontId="8" fillId="0" borderId="0" xfId="0" applyNumberFormat="1" applyFont="1" applyAlignment="1">
      <alignment shrinkToFit="1"/>
    </xf>
    <xf numFmtId="0" fontId="2" fillId="0" borderId="0" xfId="0" applyFont="1" applyAlignment="1">
      <alignment wrapText="1"/>
    </xf>
    <xf numFmtId="0" fontId="6" fillId="0" borderId="0" xfId="0" applyFont="1"/>
    <xf numFmtId="0" fontId="0" fillId="0" borderId="0" xfId="0" applyAlignment="1">
      <alignment horizontal="left" vertical="center" wrapText="1"/>
    </xf>
    <xf numFmtId="2" fontId="6" fillId="0" borderId="0" xfId="0" applyNumberFormat="1" applyFont="1" applyAlignment="1">
      <alignment horizontal="left"/>
    </xf>
    <xf numFmtId="0" fontId="12" fillId="0" borderId="0" xfId="0" applyFont="1" applyAlignment="1">
      <alignment horizontal="left"/>
    </xf>
    <xf numFmtId="0" fontId="6" fillId="0" borderId="0" xfId="0" applyFont="1" applyAlignment="1">
      <alignment horizontal="right"/>
    </xf>
    <xf numFmtId="0" fontId="0" fillId="2" borderId="0" xfId="0" applyFill="1" applyAlignment="1">
      <alignment horizontal="left" wrapText="1"/>
    </xf>
    <xf numFmtId="0" fontId="6" fillId="2" borderId="0" xfId="0" applyFont="1" applyFill="1" applyAlignment="1">
      <alignment horizontal="left" vertical="top"/>
    </xf>
    <xf numFmtId="0" fontId="1" fillId="3" borderId="0" xfId="0" applyFont="1" applyFill="1" applyAlignment="1">
      <alignment horizontal="left" vertical="top" wrapText="1"/>
    </xf>
    <xf numFmtId="0" fontId="6" fillId="3" borderId="0" xfId="0" applyFont="1" applyFill="1" applyAlignment="1">
      <alignment horizontal="left" vertical="top"/>
    </xf>
    <xf numFmtId="0" fontId="0" fillId="3" borderId="0" xfId="0" applyFill="1" applyAlignment="1">
      <alignment horizontal="center" wrapText="1"/>
    </xf>
    <xf numFmtId="0" fontId="6" fillId="3" borderId="0" xfId="0" applyFont="1" applyFill="1" applyAlignment="1">
      <alignment horizontal="center"/>
    </xf>
    <xf numFmtId="0" fontId="0" fillId="3" borderId="0" xfId="0" applyFill="1" applyAlignment="1">
      <alignment horizontal="left" vertical="center" wrapText="1"/>
    </xf>
    <xf numFmtId="0" fontId="0" fillId="3" borderId="0" xfId="0" applyFill="1" applyAlignment="1">
      <alignment horizontal="left" vertical="top"/>
    </xf>
    <xf numFmtId="0" fontId="13" fillId="0" borderId="0" xfId="0" applyFont="1" applyAlignment="1">
      <alignment horizontal="left" vertical="top"/>
    </xf>
    <xf numFmtId="0" fontId="3" fillId="3" borderId="0" xfId="0" applyFont="1" applyFill="1" applyAlignment="1">
      <alignment horizontal="left"/>
    </xf>
    <xf numFmtId="0" fontId="15" fillId="0" borderId="0" xfId="0" applyFont="1" applyAlignment="1">
      <alignment horizontal="left" wrapText="1"/>
    </xf>
    <xf numFmtId="0" fontId="15" fillId="3" borderId="0" xfId="0" applyFont="1" applyFill="1" applyAlignment="1">
      <alignment horizontal="left" wrapText="1"/>
    </xf>
    <xf numFmtId="0" fontId="16" fillId="0" borderId="0" xfId="0" applyFont="1" applyAlignment="1">
      <alignment horizontal="left" vertical="top"/>
    </xf>
    <xf numFmtId="0" fontId="17" fillId="3" borderId="0" xfId="0" applyFont="1" applyFill="1" applyAlignment="1">
      <alignment horizontal="left"/>
    </xf>
    <xf numFmtId="0" fontId="20" fillId="0" borderId="0" xfId="0" applyFont="1" applyAlignment="1">
      <alignment horizontal="left" wrapText="1"/>
    </xf>
    <xf numFmtId="0" fontId="20" fillId="3" borderId="0" xfId="0" applyFont="1" applyFill="1" applyAlignment="1">
      <alignment horizontal="left" wrapText="1"/>
    </xf>
    <xf numFmtId="0" fontId="21" fillId="0" borderId="0" xfId="0" applyFont="1" applyAlignment="1">
      <alignment horizontal="left" vertical="top" wrapText="1"/>
    </xf>
    <xf numFmtId="0" fontId="20" fillId="0" borderId="0" xfId="0" applyFont="1" applyAlignment="1">
      <alignment wrapText="1"/>
    </xf>
    <xf numFmtId="0" fontId="22" fillId="0" borderId="0" xfId="0" applyFont="1" applyAlignment="1">
      <alignment horizontal="left" vertical="top"/>
    </xf>
    <xf numFmtId="165" fontId="24" fillId="0" borderId="0" xfId="0" applyNumberFormat="1" applyFont="1" applyAlignment="1">
      <alignment horizontal="center" shrinkToFit="1"/>
    </xf>
    <xf numFmtId="165" fontId="24" fillId="3" borderId="0" xfId="0" applyNumberFormat="1" applyFont="1" applyFill="1" applyAlignment="1">
      <alignment horizontal="center" shrinkToFit="1"/>
    </xf>
    <xf numFmtId="0" fontId="21" fillId="0" borderId="0" xfId="0" applyFont="1" applyAlignment="1">
      <alignment horizontal="center" wrapText="1"/>
    </xf>
    <xf numFmtId="4" fontId="24" fillId="0" borderId="0" xfId="0" applyNumberFormat="1" applyFont="1" applyAlignment="1">
      <alignment horizontal="center" wrapText="1" shrinkToFit="1"/>
    </xf>
    <xf numFmtId="4" fontId="24" fillId="0" borderId="0" xfId="0" applyNumberFormat="1" applyFont="1" applyAlignment="1">
      <alignment horizontal="center" shrinkToFit="1"/>
    </xf>
    <xf numFmtId="0" fontId="21" fillId="3" borderId="0" xfId="0" applyFont="1" applyFill="1" applyAlignment="1">
      <alignment horizontal="center" wrapText="1"/>
    </xf>
    <xf numFmtId="2" fontId="24" fillId="3" borderId="0" xfId="0" applyNumberFormat="1" applyFont="1" applyFill="1" applyAlignment="1">
      <alignment horizontal="center" shrinkToFit="1"/>
    </xf>
    <xf numFmtId="0" fontId="21" fillId="0" borderId="0" xfId="0" applyFont="1" applyAlignment="1">
      <alignment horizontal="left" wrapText="1"/>
    </xf>
    <xf numFmtId="0" fontId="20" fillId="3" borderId="0" xfId="0" applyFont="1" applyFill="1" applyAlignment="1">
      <alignment horizontal="center" wrapText="1"/>
    </xf>
    <xf numFmtId="2" fontId="24" fillId="0" borderId="0" xfId="0" applyNumberFormat="1" applyFont="1" applyAlignment="1">
      <alignment horizontal="center" shrinkToFit="1"/>
    </xf>
    <xf numFmtId="2" fontId="24" fillId="0" borderId="0" xfId="0" applyNumberFormat="1" applyFont="1" applyAlignment="1">
      <alignment horizontal="center" wrapText="1" shrinkToFit="1"/>
    </xf>
    <xf numFmtId="0" fontId="21" fillId="3" borderId="0" xfId="0" applyFont="1" applyFill="1" applyAlignment="1">
      <alignment horizontal="center" vertical="center" wrapText="1"/>
    </xf>
    <xf numFmtId="0" fontId="21" fillId="3" borderId="0" xfId="0" applyFont="1" applyFill="1" applyAlignment="1">
      <alignment horizontal="lef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4" fontId="24" fillId="3" borderId="0" xfId="0" applyNumberFormat="1" applyFont="1" applyFill="1" applyAlignment="1">
      <alignment horizontal="center" shrinkToFit="1"/>
    </xf>
    <xf numFmtId="0" fontId="21" fillId="0" borderId="0" xfId="0" applyFont="1" applyAlignment="1">
      <alignment wrapText="1"/>
    </xf>
    <xf numFmtId="2" fontId="24" fillId="0" borderId="0" xfId="0" applyNumberFormat="1" applyFont="1" applyAlignment="1">
      <alignment horizontal="right" shrinkToFit="1"/>
    </xf>
    <xf numFmtId="2" fontId="24" fillId="0" borderId="0" xfId="0" applyNumberFormat="1" applyFont="1" applyAlignment="1">
      <alignment shrinkToFit="1"/>
    </xf>
    <xf numFmtId="0" fontId="3" fillId="0" borderId="0" xfId="0" applyFont="1" applyAlignment="1">
      <alignment horizontal="right"/>
    </xf>
    <xf numFmtId="0" fontId="3" fillId="0" borderId="0" xfId="0" applyFont="1" applyAlignment="1">
      <alignment horizontal="left"/>
    </xf>
    <xf numFmtId="0" fontId="3" fillId="3" borderId="0" xfId="0" applyFont="1" applyFill="1" applyAlignment="1">
      <alignment horizontal="center"/>
    </xf>
    <xf numFmtId="2" fontId="3" fillId="3" borderId="0" xfId="0" applyNumberFormat="1" applyFont="1" applyFill="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0" fontId="3" fillId="3" borderId="0" xfId="0" applyFont="1" applyFill="1" applyAlignment="1">
      <alignment horizontal="left" vertical="top"/>
    </xf>
    <xf numFmtId="0" fontId="26" fillId="3" borderId="0" xfId="0" applyFont="1" applyFill="1" applyAlignment="1">
      <alignment horizontal="left"/>
    </xf>
    <xf numFmtId="0" fontId="13" fillId="3" borderId="0" xfId="0" applyFont="1" applyFill="1" applyAlignment="1">
      <alignment horizontal="left" vertical="top"/>
    </xf>
    <xf numFmtId="0" fontId="3" fillId="0" borderId="0" xfId="0" applyFont="1" applyAlignment="1">
      <alignment horizontal="left" vertical="top"/>
    </xf>
    <xf numFmtId="0" fontId="3" fillId="3" borderId="0" xfId="0" applyFont="1" applyFill="1" applyAlignment="1">
      <alignment horizontal="right"/>
    </xf>
    <xf numFmtId="0" fontId="17" fillId="0" borderId="0" xfId="0" applyFont="1" applyAlignment="1">
      <alignment horizontal="left"/>
    </xf>
    <xf numFmtId="0" fontId="17" fillId="0" borderId="0" xfId="0" applyFont="1" applyAlignment="1">
      <alignment horizontal="left" vertical="top"/>
    </xf>
    <xf numFmtId="0" fontId="16" fillId="3" borderId="0" xfId="0" applyFont="1" applyFill="1" applyAlignment="1">
      <alignment horizontal="left" vertical="top"/>
    </xf>
    <xf numFmtId="0" fontId="17" fillId="3" borderId="0" xfId="0" applyFont="1" applyFill="1" applyAlignment="1">
      <alignment horizontal="left" vertical="top"/>
    </xf>
    <xf numFmtId="0" fontId="18" fillId="2" borderId="0" xfId="0" applyFont="1" applyFill="1" applyAlignment="1">
      <alignment horizontal="left" vertical="top" wrapText="1"/>
    </xf>
    <xf numFmtId="0" fontId="21" fillId="2" borderId="0" xfId="0" applyFont="1" applyFill="1" applyAlignment="1">
      <alignment horizontal="left" vertical="center" wrapText="1"/>
    </xf>
    <xf numFmtId="0" fontId="21" fillId="2" borderId="0" xfId="0" applyFont="1" applyFill="1" applyAlignment="1">
      <alignment horizontal="center" vertical="center" wrapText="1"/>
    </xf>
    <xf numFmtId="0" fontId="23" fillId="2" borderId="0" xfId="0" applyFont="1" applyFill="1" applyAlignment="1">
      <alignment horizontal="left"/>
    </xf>
    <xf numFmtId="0" fontId="3" fillId="3" borderId="1" xfId="0" applyFont="1" applyFill="1" applyBorder="1" applyAlignment="1">
      <alignment horizontal="center"/>
    </xf>
    <xf numFmtId="0" fontId="3" fillId="0" borderId="1" xfId="0" applyFont="1" applyBorder="1" applyAlignment="1">
      <alignment horizontal="center"/>
    </xf>
    <xf numFmtId="0" fontId="17" fillId="3" borderId="1" xfId="0" applyFont="1" applyFill="1" applyBorder="1" applyAlignment="1">
      <alignment horizontal="left"/>
    </xf>
    <xf numFmtId="0" fontId="17" fillId="0" borderId="1" xfId="0" applyFont="1" applyBorder="1" applyAlignment="1">
      <alignment horizontal="left"/>
    </xf>
    <xf numFmtId="164" fontId="29" fillId="0" borderId="0" xfId="0" applyNumberFormat="1" applyFont="1" applyAlignment="1">
      <alignment horizontal="center" vertical="top" shrinkToFit="1"/>
    </xf>
    <xf numFmtId="1" fontId="29" fillId="0" borderId="0" xfId="0" applyNumberFormat="1" applyFont="1" applyAlignment="1">
      <alignment horizontal="center" vertical="top" shrinkToFit="1"/>
    </xf>
    <xf numFmtId="0" fontId="29" fillId="0" borderId="0" xfId="0" applyFont="1" applyAlignment="1">
      <alignment horizontal="center" vertical="top" wrapText="1"/>
    </xf>
    <xf numFmtId="0" fontId="30" fillId="0" borderId="0" xfId="0" applyFont="1" applyAlignment="1">
      <alignment horizontal="center" wrapText="1"/>
    </xf>
    <xf numFmtId="0" fontId="32" fillId="0" borderId="0" xfId="0" applyFont="1" applyAlignment="1">
      <alignment horizontal="center" vertical="top" wrapText="1"/>
    </xf>
    <xf numFmtId="0" fontId="31" fillId="0" borderId="0" xfId="0" applyFont="1" applyAlignment="1">
      <alignment horizontal="center" vertical="top" wrapText="1"/>
    </xf>
    <xf numFmtId="0" fontId="29" fillId="0" borderId="0" xfId="0" applyFont="1" applyAlignment="1">
      <alignment horizontal="center" vertical="top"/>
    </xf>
    <xf numFmtId="0" fontId="31" fillId="0" borderId="0" xfId="0" applyFont="1" applyAlignment="1">
      <alignment horizontal="center" vertical="top"/>
    </xf>
    <xf numFmtId="0" fontId="0" fillId="0" borderId="0" xfId="0" applyAlignment="1">
      <alignment horizontal="center" vertical="top"/>
    </xf>
    <xf numFmtId="1" fontId="1" fillId="0" borderId="0" xfId="0" applyNumberFormat="1" applyFont="1" applyAlignment="1">
      <alignment horizontal="center" vertical="top" shrinkToFit="1"/>
    </xf>
    <xf numFmtId="0" fontId="29" fillId="0" borderId="0" xfId="0" applyFont="1" applyAlignment="1">
      <alignment horizontal="center" wrapText="1"/>
    </xf>
    <xf numFmtId="0" fontId="4" fillId="0" borderId="0" xfId="0" applyFont="1" applyAlignment="1">
      <alignment horizontal="center" vertical="top" wrapText="1"/>
    </xf>
    <xf numFmtId="0" fontId="36" fillId="0" borderId="0" xfId="0" applyFont="1" applyAlignment="1">
      <alignment horizontal="left" wrapText="1"/>
    </xf>
    <xf numFmtId="2" fontId="0" fillId="0" borderId="0" xfId="0" applyNumberFormat="1" applyAlignment="1">
      <alignment horizontal="center"/>
    </xf>
    <xf numFmtId="0" fontId="37" fillId="0" borderId="0" xfId="0" applyFont="1" applyAlignment="1">
      <alignment horizontal="left" vertical="center" wrapText="1"/>
    </xf>
    <xf numFmtId="4" fontId="36" fillId="0" borderId="0" xfId="0" applyNumberFormat="1" applyFont="1" applyAlignment="1">
      <alignment horizontal="center" wrapText="1"/>
    </xf>
    <xf numFmtId="0" fontId="34" fillId="0" borderId="0" xfId="0" applyFont="1" applyAlignment="1">
      <alignment horizontal="left" vertical="top" wrapText="1"/>
    </xf>
    <xf numFmtId="0" fontId="1" fillId="0" borderId="0" xfId="0" applyFont="1" applyAlignment="1">
      <alignment horizontal="center" vertical="top"/>
    </xf>
    <xf numFmtId="0" fontId="33" fillId="5" borderId="0" xfId="0" applyFont="1" applyFill="1" applyAlignment="1">
      <alignment horizontal="left" vertical="top" wrapText="1"/>
    </xf>
    <xf numFmtId="0" fontId="0" fillId="5" borderId="0" xfId="0" applyFill="1" applyAlignment="1">
      <alignment horizontal="left" wrapText="1"/>
    </xf>
    <xf numFmtId="0" fontId="6" fillId="5" borderId="0" xfId="0" applyFont="1" applyFill="1" applyAlignment="1">
      <alignment horizontal="left" vertical="top"/>
    </xf>
    <xf numFmtId="0" fontId="21" fillId="5" borderId="0" xfId="0" applyFont="1" applyFill="1" applyAlignment="1">
      <alignment horizontal="left" vertical="center" wrapText="1"/>
    </xf>
    <xf numFmtId="43" fontId="21" fillId="5" borderId="0" xfId="3" applyFont="1" applyFill="1" applyAlignment="1">
      <alignment horizontal="center" vertical="center" wrapText="1"/>
    </xf>
    <xf numFmtId="43" fontId="21" fillId="5" borderId="0" xfId="3" applyFont="1" applyFill="1" applyAlignment="1">
      <alignment horizontal="left" vertical="center" wrapText="1"/>
    </xf>
    <xf numFmtId="0" fontId="34" fillId="5" borderId="0" xfId="0" applyFont="1" applyFill="1" applyAlignment="1">
      <alignment horizontal="left" vertical="top" wrapText="1"/>
    </xf>
    <xf numFmtId="0" fontId="36" fillId="6" borderId="0" xfId="0" applyFont="1" applyFill="1" applyAlignment="1">
      <alignment horizontal="left" wrapText="1"/>
    </xf>
    <xf numFmtId="0" fontId="37" fillId="6" borderId="0" xfId="0" applyFont="1" applyFill="1" applyAlignment="1">
      <alignment horizontal="center" wrapText="1"/>
    </xf>
    <xf numFmtId="43" fontId="38" fillId="6" borderId="0" xfId="3" applyFont="1" applyFill="1" applyBorder="1" applyAlignment="1">
      <alignment horizontal="right" wrapText="1" shrinkToFit="1"/>
    </xf>
    <xf numFmtId="43" fontId="38" fillId="6" borderId="0" xfId="3" applyFont="1" applyFill="1" applyBorder="1" applyAlignment="1">
      <alignment horizontal="right" shrinkToFit="1"/>
    </xf>
    <xf numFmtId="2" fontId="36" fillId="6" borderId="0" xfId="0" applyNumberFormat="1" applyFont="1" applyFill="1" applyAlignment="1">
      <alignment horizontal="left" wrapText="1"/>
    </xf>
    <xf numFmtId="2" fontId="37" fillId="6" borderId="0" xfId="0" applyNumberFormat="1" applyFont="1" applyFill="1" applyAlignment="1">
      <alignment horizontal="center" wrapText="1"/>
    </xf>
    <xf numFmtId="43" fontId="36" fillId="6" borderId="0" xfId="3" applyFont="1" applyFill="1" applyBorder="1" applyAlignment="1">
      <alignment horizontal="right" wrapText="1"/>
    </xf>
    <xf numFmtId="43" fontId="38" fillId="6" borderId="0" xfId="3" applyFont="1" applyFill="1" applyAlignment="1">
      <alignment horizontal="right" wrapText="1" shrinkToFit="1"/>
    </xf>
    <xf numFmtId="2" fontId="38" fillId="6" borderId="0" xfId="0" applyNumberFormat="1" applyFont="1" applyFill="1" applyAlignment="1">
      <alignment horizontal="right" shrinkToFit="1"/>
    </xf>
    <xf numFmtId="0" fontId="39" fillId="6" borderId="0" xfId="0" applyFont="1" applyFill="1" applyAlignment="1">
      <alignment horizontal="center" wrapText="1"/>
    </xf>
    <xf numFmtId="0" fontId="36" fillId="6" borderId="0" xfId="0" applyFont="1" applyFill="1" applyAlignment="1">
      <alignment wrapText="1"/>
    </xf>
    <xf numFmtId="2" fontId="38" fillId="6" borderId="0" xfId="0" applyNumberFormat="1" applyFont="1" applyFill="1" applyAlignment="1">
      <alignment shrinkToFit="1"/>
    </xf>
    <xf numFmtId="0" fontId="6" fillId="6" borderId="0" xfId="0" applyFont="1" applyFill="1" applyAlignment="1">
      <alignment horizontal="left" vertical="top"/>
    </xf>
    <xf numFmtId="0" fontId="40" fillId="6" borderId="0" xfId="0" applyFont="1" applyFill="1" applyAlignment="1">
      <alignment horizontal="right"/>
    </xf>
    <xf numFmtId="0" fontId="28" fillId="6" borderId="0" xfId="0" applyFont="1" applyFill="1" applyAlignment="1">
      <alignment horizontal="center" vertical="top" wrapText="1"/>
    </xf>
    <xf numFmtId="0" fontId="3" fillId="6" borderId="0" xfId="0" applyFont="1" applyFill="1" applyAlignment="1">
      <alignment horizontal="left" vertical="top"/>
    </xf>
    <xf numFmtId="0" fontId="26" fillId="6" borderId="0" xfId="0" applyFont="1" applyFill="1" applyAlignment="1">
      <alignment horizontal="left"/>
    </xf>
    <xf numFmtId="0" fontId="3" fillId="6" borderId="0" xfId="0" applyFont="1" applyFill="1" applyAlignment="1">
      <alignment horizontal="left"/>
    </xf>
    <xf numFmtId="0" fontId="13" fillId="6" borderId="0" xfId="0" applyFont="1" applyFill="1" applyAlignment="1">
      <alignment horizontal="left" vertical="top"/>
    </xf>
    <xf numFmtId="0" fontId="3" fillId="6" borderId="0" xfId="0" applyFont="1" applyFill="1" applyAlignment="1">
      <alignment horizontal="right"/>
    </xf>
    <xf numFmtId="0" fontId="17" fillId="6" borderId="0" xfId="0" applyFont="1" applyFill="1" applyAlignment="1">
      <alignment horizontal="left"/>
    </xf>
    <xf numFmtId="0" fontId="16" fillId="6" borderId="0" xfId="0" applyFont="1" applyFill="1" applyAlignment="1">
      <alignment horizontal="left" vertical="top"/>
    </xf>
    <xf numFmtId="0" fontId="17" fillId="6" borderId="0" xfId="0" applyFont="1" applyFill="1" applyAlignment="1">
      <alignment horizontal="left" vertical="top"/>
    </xf>
    <xf numFmtId="0" fontId="21" fillId="6" borderId="0" xfId="0" applyFont="1" applyFill="1" applyAlignment="1">
      <alignment horizontal="left" vertical="center" wrapText="1"/>
    </xf>
    <xf numFmtId="0" fontId="3" fillId="5" borderId="1" xfId="0" applyFont="1" applyFill="1" applyBorder="1" applyAlignment="1">
      <alignment horizontal="center"/>
    </xf>
    <xf numFmtId="2" fontId="3" fillId="5" borderId="1" xfId="0" applyNumberFormat="1" applyFont="1" applyFill="1" applyBorder="1" applyAlignment="1">
      <alignment horizontal="center"/>
    </xf>
    <xf numFmtId="43" fontId="21" fillId="5" borderId="0" xfId="3" applyFont="1" applyFill="1" applyBorder="1" applyAlignment="1">
      <alignment horizontal="right" vertical="center" wrapText="1"/>
    </xf>
    <xf numFmtId="0" fontId="3" fillId="6" borderId="1" xfId="0" applyFont="1" applyFill="1" applyBorder="1" applyAlignment="1">
      <alignment horizontal="center"/>
    </xf>
    <xf numFmtId="2" fontId="3" fillId="6" borderId="1" xfId="0" applyNumberFormat="1" applyFont="1" applyFill="1" applyBorder="1" applyAlignment="1">
      <alignment horizontal="center"/>
    </xf>
    <xf numFmtId="0" fontId="34" fillId="6" borderId="0" xfId="0" applyFont="1" applyFill="1" applyAlignment="1">
      <alignment horizontal="left" vertical="top" wrapText="1"/>
    </xf>
    <xf numFmtId="0" fontId="37" fillId="6" borderId="0" xfId="0" applyFont="1" applyFill="1" applyAlignment="1">
      <alignment horizontal="left" vertical="center" wrapText="1"/>
    </xf>
    <xf numFmtId="4" fontId="36" fillId="6" borderId="0" xfId="0" applyNumberFormat="1" applyFont="1" applyFill="1" applyAlignment="1">
      <alignment horizontal="center" wrapText="1"/>
    </xf>
    <xf numFmtId="2" fontId="38" fillId="6" borderId="0" xfId="0" applyNumberFormat="1" applyFont="1" applyFill="1" applyAlignment="1">
      <alignment horizontal="center" shrinkToFit="1"/>
    </xf>
    <xf numFmtId="0" fontId="50" fillId="0" borderId="0" xfId="0" applyFont="1" applyAlignment="1">
      <alignment horizontal="left" vertical="top"/>
    </xf>
    <xf numFmtId="0" fontId="52" fillId="0" borderId="0" xfId="0" applyFont="1" applyAlignment="1">
      <alignment horizontal="left" vertical="top"/>
    </xf>
    <xf numFmtId="0" fontId="53" fillId="0" borderId="0" xfId="0" applyFont="1" applyAlignment="1">
      <alignment horizontal="center" wrapText="1"/>
    </xf>
    <xf numFmtId="0" fontId="50" fillId="0" borderId="0" xfId="0" applyFont="1" applyAlignment="1">
      <alignment horizontal="left" wrapText="1"/>
    </xf>
    <xf numFmtId="0" fontId="54" fillId="0" borderId="0" xfId="0" applyFont="1" applyAlignment="1">
      <alignment horizontal="left" wrapText="1"/>
    </xf>
    <xf numFmtId="0" fontId="50" fillId="4" borderId="0" xfId="0" applyFont="1" applyFill="1" applyAlignment="1">
      <alignment horizontal="left" wrapText="1"/>
    </xf>
    <xf numFmtId="0" fontId="50" fillId="5" borderId="0" xfId="0" applyFont="1" applyFill="1" applyAlignment="1">
      <alignment horizontal="left" wrapText="1"/>
    </xf>
    <xf numFmtId="0" fontId="49" fillId="6" borderId="0" xfId="0" applyFont="1" applyFill="1" applyAlignment="1">
      <alignment horizontal="center" wrapText="1"/>
    </xf>
    <xf numFmtId="0" fontId="50" fillId="0" borderId="0" xfId="0" applyFont="1" applyAlignment="1">
      <alignment horizontal="center"/>
    </xf>
    <xf numFmtId="0" fontId="50" fillId="0" borderId="0" xfId="0" applyFont="1" applyAlignment="1">
      <alignment horizontal="left"/>
    </xf>
    <xf numFmtId="0" fontId="38" fillId="6" borderId="0" xfId="0" applyFont="1" applyFill="1" applyAlignment="1">
      <alignment horizontal="center" wrapText="1"/>
    </xf>
    <xf numFmtId="0" fontId="24" fillId="5" borderId="0" xfId="0" applyFont="1" applyFill="1" applyAlignment="1">
      <alignment horizontal="left" vertical="center" wrapText="1"/>
    </xf>
    <xf numFmtId="43" fontId="24" fillId="5" borderId="0" xfId="3" applyFont="1" applyFill="1" applyBorder="1" applyAlignment="1">
      <alignment horizontal="right" vertical="center" wrapText="1"/>
    </xf>
    <xf numFmtId="0" fontId="50" fillId="0" borderId="0" xfId="0" applyFont="1"/>
    <xf numFmtId="0" fontId="49" fillId="6" borderId="0" xfId="0" applyFont="1" applyFill="1" applyAlignment="1">
      <alignment horizontal="left" vertical="center" wrapText="1"/>
    </xf>
    <xf numFmtId="0" fontId="24" fillId="6" borderId="0" xfId="0" applyFont="1" applyFill="1" applyAlignment="1">
      <alignment horizontal="left" vertical="center" wrapText="1"/>
    </xf>
    <xf numFmtId="0" fontId="52" fillId="6" borderId="0" xfId="0" applyFont="1" applyFill="1" applyAlignment="1">
      <alignment horizontal="left" vertical="top"/>
    </xf>
    <xf numFmtId="0" fontId="53" fillId="6" borderId="0" xfId="0" applyFont="1" applyFill="1" applyAlignment="1">
      <alignment horizontal="left" vertical="top"/>
    </xf>
    <xf numFmtId="0" fontId="55" fillId="6" borderId="0" xfId="0" applyFont="1" applyFill="1" applyAlignment="1">
      <alignment horizontal="left" vertical="top"/>
    </xf>
    <xf numFmtId="0" fontId="50" fillId="4" borderId="0" xfId="0" applyFont="1" applyFill="1" applyAlignment="1">
      <alignment horizontal="left" vertical="top"/>
    </xf>
    <xf numFmtId="0" fontId="23" fillId="5" borderId="1" xfId="0" applyFont="1" applyFill="1" applyBorder="1" applyAlignment="1">
      <alignment horizontal="left"/>
    </xf>
    <xf numFmtId="2" fontId="3" fillId="7" borderId="1" xfId="0" applyNumberFormat="1" applyFont="1" applyFill="1" applyBorder="1" applyAlignment="1">
      <alignment horizontal="center"/>
    </xf>
    <xf numFmtId="43" fontId="36" fillId="6" borderId="0" xfId="3" applyFont="1" applyFill="1" applyBorder="1" applyAlignment="1">
      <alignment horizontal="right" wrapText="1" shrinkToFit="1"/>
    </xf>
    <xf numFmtId="43" fontId="49" fillId="6" borderId="0" xfId="3" applyFont="1" applyFill="1" applyBorder="1" applyAlignment="1">
      <alignment horizontal="right" wrapText="1"/>
    </xf>
    <xf numFmtId="43" fontId="38" fillId="6" borderId="0" xfId="3" applyFont="1" applyFill="1" applyBorder="1" applyAlignment="1">
      <alignment horizontal="right" vertical="center" wrapText="1" shrinkToFit="1"/>
    </xf>
    <xf numFmtId="43" fontId="36" fillId="6" borderId="0" xfId="3" applyFont="1" applyFill="1" applyBorder="1" applyAlignment="1">
      <alignment horizontal="right" vertical="center" wrapText="1" shrinkToFit="1"/>
    </xf>
    <xf numFmtId="0" fontId="56" fillId="0" borderId="0" xfId="0" applyFont="1" applyAlignment="1">
      <alignment horizontal="center" wrapText="1"/>
    </xf>
    <xf numFmtId="0" fontId="10" fillId="0" borderId="0" xfId="0" applyFont="1" applyAlignment="1">
      <alignment horizontal="center" wrapText="1"/>
    </xf>
    <xf numFmtId="0" fontId="11" fillId="0" borderId="0" xfId="0" applyFont="1" applyAlignment="1">
      <alignment horizontal="left" wrapText="1"/>
    </xf>
    <xf numFmtId="2" fontId="49" fillId="6" borderId="0" xfId="0" applyNumberFormat="1" applyFont="1" applyFill="1" applyAlignment="1">
      <alignment horizontal="center" wrapText="1"/>
    </xf>
    <xf numFmtId="0" fontId="49" fillId="6" borderId="0" xfId="0" applyFont="1" applyFill="1" applyAlignment="1">
      <alignment horizontal="center" vertical="center" wrapText="1"/>
    </xf>
    <xf numFmtId="0" fontId="36" fillId="6" borderId="0" xfId="0" applyFont="1" applyFill="1" applyAlignment="1">
      <alignment horizontal="left" vertical="center" wrapText="1"/>
    </xf>
    <xf numFmtId="2" fontId="38" fillId="6" borderId="0" xfId="0" applyNumberFormat="1" applyFont="1" applyFill="1" applyAlignment="1">
      <alignment horizontal="right" vertical="center" shrinkToFit="1"/>
    </xf>
    <xf numFmtId="0" fontId="0" fillId="6" borderId="0" xfId="0" applyFill="1" applyAlignment="1">
      <alignment horizontal="left" vertical="top"/>
    </xf>
    <xf numFmtId="43" fontId="49" fillId="6" borderId="0" xfId="0" applyNumberFormat="1" applyFont="1" applyFill="1" applyAlignment="1">
      <alignment horizontal="left" vertical="top"/>
    </xf>
    <xf numFmtId="43" fontId="38" fillId="6" borderId="0" xfId="4" applyNumberFormat="1" applyFont="1" applyFill="1" applyBorder="1" applyAlignment="1">
      <alignment horizontal="right" wrapText="1" shrinkToFit="1"/>
    </xf>
    <xf numFmtId="2" fontId="38" fillId="6" borderId="0" xfId="0" applyNumberFormat="1" applyFont="1" applyFill="1" applyAlignment="1">
      <alignment vertical="center" shrinkToFit="1"/>
    </xf>
    <xf numFmtId="0" fontId="6" fillId="6" borderId="1" xfId="0" applyFont="1" applyFill="1" applyBorder="1" applyAlignment="1">
      <alignment horizontal="left" vertical="top"/>
    </xf>
    <xf numFmtId="0" fontId="3" fillId="6" borderId="1" xfId="0" applyFont="1" applyFill="1" applyBorder="1" applyAlignment="1">
      <alignment horizontal="right"/>
    </xf>
    <xf numFmtId="0" fontId="3" fillId="6" borderId="1" xfId="0" applyFont="1" applyFill="1" applyBorder="1" applyAlignment="1">
      <alignment horizontal="left" vertical="top"/>
    </xf>
    <xf numFmtId="0" fontId="26" fillId="6" borderId="1" xfId="0" applyFont="1" applyFill="1" applyBorder="1" applyAlignment="1">
      <alignment horizontal="left"/>
    </xf>
    <xf numFmtId="0" fontId="3" fillId="6" borderId="1" xfId="0" applyFont="1" applyFill="1" applyBorder="1" applyAlignment="1">
      <alignment horizontal="left"/>
    </xf>
    <xf numFmtId="0" fontId="17" fillId="6" borderId="1" xfId="0" applyFont="1" applyFill="1" applyBorder="1" applyAlignment="1">
      <alignment horizontal="left"/>
    </xf>
    <xf numFmtId="0" fontId="3" fillId="6" borderId="6" xfId="0" applyFont="1" applyFill="1" applyBorder="1" applyAlignment="1">
      <alignment horizontal="right"/>
    </xf>
    <xf numFmtId="0" fontId="17" fillId="6" borderId="6" xfId="0" applyFont="1" applyFill="1" applyBorder="1" applyAlignment="1">
      <alignment horizontal="left"/>
    </xf>
    <xf numFmtId="0" fontId="3" fillId="6" borderId="4" xfId="0" applyFont="1" applyFill="1" applyBorder="1" applyAlignment="1">
      <alignment horizontal="right"/>
    </xf>
    <xf numFmtId="0" fontId="3" fillId="6" borderId="3" xfId="0" applyFont="1" applyFill="1" applyBorder="1" applyAlignment="1">
      <alignment horizontal="right"/>
    </xf>
    <xf numFmtId="0" fontId="50" fillId="6" borderId="3" xfId="0" applyFont="1" applyFill="1" applyBorder="1"/>
    <xf numFmtId="0" fontId="17" fillId="6" borderId="5" xfId="0" applyFont="1" applyFill="1" applyBorder="1" applyAlignment="1">
      <alignment horizontal="left"/>
    </xf>
    <xf numFmtId="43" fontId="50" fillId="0" borderId="0" xfId="0" applyNumberFormat="1" applyFont="1" applyAlignment="1">
      <alignment horizontal="center"/>
    </xf>
    <xf numFmtId="0" fontId="1" fillId="0" borderId="0" xfId="0" applyFont="1" applyAlignment="1">
      <alignment horizontal="center" wrapText="1"/>
    </xf>
    <xf numFmtId="0" fontId="43" fillId="6" borderId="0" xfId="0" applyFont="1" applyFill="1" applyAlignment="1">
      <alignment horizontal="center" vertical="center"/>
    </xf>
    <xf numFmtId="0" fontId="3" fillId="5" borderId="0" xfId="0" applyFont="1" applyFill="1" applyAlignment="1">
      <alignment horizontal="center"/>
    </xf>
    <xf numFmtId="0" fontId="29" fillId="0" borderId="0" xfId="0" applyFont="1" applyAlignment="1">
      <alignment horizontal="center" vertical="center" wrapText="1"/>
    </xf>
    <xf numFmtId="0" fontId="11" fillId="0" borderId="0" xfId="0" applyFont="1" applyAlignment="1">
      <alignment horizontal="left" vertical="top"/>
    </xf>
    <xf numFmtId="43" fontId="6" fillId="5" borderId="0" xfId="3" applyFont="1" applyFill="1" applyBorder="1" applyAlignment="1">
      <alignment horizontal="right" vertical="top" wrapText="1"/>
    </xf>
    <xf numFmtId="0" fontId="50" fillId="6" borderId="0" xfId="0" applyFont="1" applyFill="1" applyAlignment="1">
      <alignment horizontal="left" wrapText="1"/>
    </xf>
    <xf numFmtId="0" fontId="57" fillId="6" borderId="0" xfId="0" applyFont="1" applyFill="1" applyAlignment="1">
      <alignment horizontal="center" vertical="center"/>
    </xf>
    <xf numFmtId="2" fontId="3" fillId="6" borderId="0" xfId="0" applyNumberFormat="1" applyFont="1" applyFill="1" applyAlignment="1">
      <alignment horizontal="center"/>
    </xf>
    <xf numFmtId="0" fontId="1" fillId="6" borderId="0" xfId="0" applyFont="1" applyFill="1" applyAlignment="1">
      <alignment horizontal="center" vertical="top" wrapText="1"/>
    </xf>
    <xf numFmtId="0" fontId="11" fillId="6" borderId="0" xfId="0" applyFont="1" applyFill="1" applyAlignment="1">
      <alignment horizontal="left" wrapText="1"/>
    </xf>
    <xf numFmtId="0" fontId="1" fillId="6" borderId="0" xfId="0" applyFont="1" applyFill="1" applyAlignment="1">
      <alignment horizontal="left" vertical="top"/>
    </xf>
    <xf numFmtId="0" fontId="1" fillId="6" borderId="0" xfId="0" applyFont="1" applyFill="1" applyAlignment="1">
      <alignment horizontal="right"/>
    </xf>
    <xf numFmtId="0" fontId="0" fillId="5" borderId="0" xfId="0" applyFill="1" applyAlignment="1">
      <alignment horizontal="center" wrapText="1"/>
    </xf>
    <xf numFmtId="0" fontId="0" fillId="5" borderId="0" xfId="0" applyFill="1" applyAlignment="1">
      <alignment horizontal="left"/>
    </xf>
    <xf numFmtId="0" fontId="46" fillId="5" borderId="0" xfId="0" applyFont="1" applyFill="1" applyAlignment="1">
      <alignment horizontal="left" wrapText="1"/>
    </xf>
    <xf numFmtId="0" fontId="37" fillId="5" borderId="0" xfId="0" applyFont="1" applyFill="1" applyAlignment="1">
      <alignment horizontal="center" wrapText="1"/>
    </xf>
    <xf numFmtId="43" fontId="38" fillId="5" borderId="0" xfId="3" applyFont="1" applyFill="1" applyBorder="1" applyAlignment="1">
      <alignment horizontal="right" wrapText="1" shrinkToFit="1"/>
    </xf>
    <xf numFmtId="0" fontId="21" fillId="6" borderId="0" xfId="0" applyFont="1" applyFill="1" applyAlignment="1">
      <alignment horizontal="left" vertical="center"/>
    </xf>
    <xf numFmtId="0" fontId="35" fillId="6" borderId="0" xfId="0" applyFont="1" applyFill="1" applyAlignment="1">
      <alignment horizontal="left" vertical="center" wrapText="1"/>
    </xf>
    <xf numFmtId="0" fontId="39" fillId="6" borderId="0" xfId="0" applyFont="1" applyFill="1" applyAlignment="1">
      <alignment horizontal="left" vertical="center" wrapText="1"/>
    </xf>
    <xf numFmtId="0" fontId="38" fillId="6" borderId="0" xfId="0" applyFont="1" applyFill="1" applyAlignment="1">
      <alignment horizontal="left" vertical="top" wrapText="1"/>
    </xf>
    <xf numFmtId="43" fontId="6" fillId="6" borderId="0" xfId="3" applyFont="1" applyFill="1" applyBorder="1" applyAlignment="1">
      <alignment horizontal="center" vertical="top"/>
    </xf>
    <xf numFmtId="43" fontId="6" fillId="6" borderId="0" xfId="3" applyFont="1" applyFill="1" applyBorder="1" applyAlignment="1">
      <alignment horizontal="right" vertical="top"/>
    </xf>
    <xf numFmtId="0" fontId="38" fillId="6" borderId="0" xfId="0" applyFont="1" applyFill="1" applyAlignment="1">
      <alignment horizontal="left" vertical="center" wrapText="1"/>
    </xf>
    <xf numFmtId="0" fontId="58" fillId="5" borderId="8" xfId="0" applyFont="1" applyFill="1" applyBorder="1" applyAlignment="1">
      <alignment horizontal="left" vertical="top"/>
    </xf>
    <xf numFmtId="0" fontId="59" fillId="5" borderId="0" xfId="0" applyFont="1" applyFill="1" applyAlignment="1">
      <alignment horizontal="right" vertical="top"/>
    </xf>
    <xf numFmtId="0" fontId="5" fillId="5" borderId="7" xfId="0" applyFont="1" applyFill="1" applyBorder="1" applyAlignment="1">
      <alignment vertical="top"/>
    </xf>
    <xf numFmtId="0" fontId="5" fillId="5" borderId="8" xfId="0" applyFont="1" applyFill="1" applyBorder="1" applyAlignment="1">
      <alignment vertical="top"/>
    </xf>
    <xf numFmtId="0" fontId="58" fillId="5" borderId="10" xfId="0" applyFont="1" applyFill="1" applyBorder="1" applyAlignment="1">
      <alignment vertical="top"/>
    </xf>
    <xf numFmtId="0" fontId="58" fillId="5" borderId="0" xfId="0" applyFont="1" applyFill="1" applyAlignment="1">
      <alignment vertical="top"/>
    </xf>
    <xf numFmtId="0" fontId="58" fillId="5" borderId="11" xfId="0" applyFont="1" applyFill="1" applyBorder="1" applyAlignment="1">
      <alignment vertical="top"/>
    </xf>
    <xf numFmtId="0" fontId="58" fillId="5" borderId="12" xfId="0" applyFont="1" applyFill="1" applyBorder="1" applyAlignment="1">
      <alignment vertical="top"/>
    </xf>
    <xf numFmtId="0" fontId="58" fillId="5" borderId="2" xfId="0" applyFont="1" applyFill="1" applyBorder="1" applyAlignment="1">
      <alignment vertical="top"/>
    </xf>
    <xf numFmtId="0" fontId="0" fillId="5" borderId="9" xfId="0" applyFill="1" applyBorder="1" applyAlignment="1">
      <alignment horizontal="left" vertical="top"/>
    </xf>
    <xf numFmtId="0" fontId="0" fillId="5" borderId="11" xfId="0" applyFill="1" applyBorder="1" applyAlignment="1">
      <alignment horizontal="left" vertical="top"/>
    </xf>
    <xf numFmtId="0" fontId="0" fillId="5" borderId="13" xfId="0" applyFill="1" applyBorder="1" applyAlignment="1">
      <alignment horizontal="left" vertical="top"/>
    </xf>
    <xf numFmtId="0" fontId="5" fillId="5" borderId="0" xfId="0" applyFont="1" applyFill="1" applyAlignment="1">
      <alignment horizontal="left" vertical="top"/>
    </xf>
    <xf numFmtId="0" fontId="0" fillId="0" borderId="2" xfId="0" applyBorder="1" applyAlignment="1">
      <alignment horizontal="left" vertical="top"/>
    </xf>
    <xf numFmtId="0" fontId="27" fillId="0" borderId="0" xfId="0" applyFont="1" applyAlignment="1">
      <alignment vertical="top" wrapText="1"/>
    </xf>
    <xf numFmtId="0" fontId="5" fillId="0" borderId="0" xfId="0" applyFont="1" applyAlignment="1">
      <alignment vertical="top" wrapText="1"/>
    </xf>
    <xf numFmtId="0" fontId="54" fillId="5" borderId="12" xfId="0" applyFont="1" applyFill="1" applyBorder="1" applyAlignment="1">
      <alignment horizontal="left" vertical="top"/>
    </xf>
    <xf numFmtId="0" fontId="54" fillId="5" borderId="2" xfId="0" applyFont="1" applyFill="1" applyBorder="1" applyAlignment="1">
      <alignment horizontal="left" vertical="top"/>
    </xf>
    <xf numFmtId="0" fontId="51" fillId="0" borderId="0" xfId="0" applyFont="1" applyAlignment="1">
      <alignment vertical="top" wrapText="1"/>
    </xf>
    <xf numFmtId="0" fontId="50" fillId="5" borderId="2" xfId="0" applyFont="1" applyFill="1" applyBorder="1" applyAlignment="1">
      <alignment horizontal="left" vertical="top"/>
    </xf>
    <xf numFmtId="0" fontId="50" fillId="5" borderId="13" xfId="0" applyFont="1" applyFill="1" applyBorder="1" applyAlignment="1">
      <alignment horizontal="left" vertical="top"/>
    </xf>
    <xf numFmtId="0" fontId="50" fillId="5" borderId="0" xfId="0" applyFont="1" applyFill="1" applyAlignment="1">
      <alignment horizontal="left" vertical="top"/>
    </xf>
    <xf numFmtId="0" fontId="50" fillId="5" borderId="9" xfId="0" applyFont="1" applyFill="1" applyBorder="1" applyAlignment="1">
      <alignment horizontal="left" vertical="top"/>
    </xf>
    <xf numFmtId="0" fontId="50" fillId="5" borderId="11" xfId="0" applyFont="1" applyFill="1" applyBorder="1" applyAlignment="1">
      <alignment horizontal="left" vertical="top"/>
    </xf>
    <xf numFmtId="0" fontId="50" fillId="5" borderId="8" xfId="0" applyFont="1" applyFill="1" applyBorder="1" applyAlignment="1">
      <alignment horizontal="left" vertical="top"/>
    </xf>
    <xf numFmtId="0" fontId="11" fillId="0" borderId="0" xfId="0" applyFont="1" applyAlignment="1">
      <alignment vertical="top" wrapText="1"/>
    </xf>
    <xf numFmtId="0" fontId="60" fillId="6" borderId="0" xfId="0" applyFont="1" applyFill="1" applyAlignment="1">
      <alignment horizontal="left" vertical="top" wrapText="1"/>
    </xf>
    <xf numFmtId="0" fontId="60" fillId="6" borderId="0" xfId="0" applyFont="1" applyFill="1" applyAlignment="1">
      <alignment horizontal="left" wrapText="1"/>
    </xf>
    <xf numFmtId="0" fontId="61" fillId="6" borderId="0" xfId="0" applyFont="1" applyFill="1" applyAlignment="1">
      <alignment horizontal="center" vertical="top" wrapText="1"/>
    </xf>
    <xf numFmtId="0" fontId="62" fillId="6" borderId="0" xfId="0" applyFont="1" applyFill="1" applyAlignment="1">
      <alignment horizontal="center" vertical="top" wrapText="1"/>
    </xf>
    <xf numFmtId="0" fontId="63" fillId="6" borderId="0" xfId="0" applyFont="1" applyFill="1" applyAlignment="1">
      <alignment horizontal="center" vertical="top" wrapText="1"/>
    </xf>
    <xf numFmtId="0" fontId="64" fillId="6" borderId="0" xfId="0" applyFont="1" applyFill="1" applyAlignment="1">
      <alignment horizontal="left" vertical="top" wrapText="1"/>
    </xf>
    <xf numFmtId="0" fontId="64" fillId="6" borderId="0" xfId="0" applyFont="1" applyFill="1" applyAlignment="1">
      <alignment horizontal="left" wrapText="1"/>
    </xf>
    <xf numFmtId="0" fontId="65" fillId="6" borderId="0" xfId="0" applyFont="1" applyFill="1" applyAlignment="1">
      <alignment horizontal="center" vertical="top" wrapText="1"/>
    </xf>
    <xf numFmtId="0" fontId="61" fillId="6" borderId="0" xfId="0" applyFont="1" applyFill="1" applyAlignment="1">
      <alignment horizontal="center" vertical="top"/>
    </xf>
    <xf numFmtId="0" fontId="1" fillId="0" borderId="0" xfId="0" applyFont="1" applyAlignment="1">
      <alignment horizontal="center" vertical="top" wrapText="1"/>
    </xf>
    <xf numFmtId="0" fontId="2" fillId="0" borderId="0" xfId="0" applyFont="1" applyAlignment="1">
      <alignment horizontal="center" vertical="top" wrapText="1"/>
    </xf>
    <xf numFmtId="0" fontId="58" fillId="5" borderId="10" xfId="0" applyFont="1" applyFill="1" applyBorder="1" applyAlignment="1">
      <alignment horizontal="left" vertical="top"/>
    </xf>
    <xf numFmtId="0" fontId="58" fillId="5" borderId="0" xfId="0" applyFont="1" applyFill="1" applyAlignment="1">
      <alignment horizontal="left" vertical="top"/>
    </xf>
    <xf numFmtId="0" fontId="5" fillId="5" borderId="7" xfId="0" applyFont="1" applyFill="1" applyBorder="1" applyAlignment="1">
      <alignment horizontal="left" vertical="top"/>
    </xf>
    <xf numFmtId="0" fontId="5" fillId="5" borderId="8" xfId="0" applyFont="1" applyFill="1" applyBorder="1" applyAlignment="1">
      <alignment horizontal="left" vertical="top"/>
    </xf>
    <xf numFmtId="0" fontId="58" fillId="5" borderId="11" xfId="0" applyFont="1" applyFill="1" applyBorder="1" applyAlignment="1">
      <alignment horizontal="left" vertical="top"/>
    </xf>
    <xf numFmtId="0" fontId="58" fillId="5" borderId="12" xfId="0" applyFont="1" applyFill="1" applyBorder="1" applyAlignment="1">
      <alignment horizontal="left" vertical="top"/>
    </xf>
    <xf numFmtId="0" fontId="58" fillId="5" borderId="2" xfId="0" applyFont="1" applyFill="1" applyBorder="1" applyAlignment="1">
      <alignment horizontal="left" vertical="top"/>
    </xf>
    <xf numFmtId="0" fontId="58" fillId="5" borderId="13" xfId="0" applyFont="1" applyFill="1" applyBorder="1" applyAlignment="1">
      <alignment horizontal="left" vertical="top"/>
    </xf>
    <xf numFmtId="0" fontId="1" fillId="0" borderId="0" xfId="0" applyFont="1" applyAlignment="1">
      <alignment horizontal="center" vertical="top" wrapText="1"/>
    </xf>
    <xf numFmtId="0" fontId="2" fillId="0" borderId="0" xfId="0" applyFont="1" applyAlignment="1">
      <alignment horizontal="center" vertical="top" wrapText="1"/>
    </xf>
    <xf numFmtId="0" fontId="0" fillId="0" borderId="0" xfId="0" applyAlignment="1">
      <alignment horizontal="left" vertical="top" wrapText="1"/>
    </xf>
    <xf numFmtId="0" fontId="48" fillId="5" borderId="8" xfId="0" applyFont="1" applyFill="1" applyBorder="1" applyAlignment="1">
      <alignment horizontal="left" vertical="top"/>
    </xf>
    <xf numFmtId="0" fontId="48" fillId="5" borderId="9" xfId="0" applyFont="1" applyFill="1" applyBorder="1" applyAlignment="1">
      <alignment horizontal="left" vertical="top"/>
    </xf>
    <xf numFmtId="0" fontId="48" fillId="5" borderId="11" xfId="0" applyFont="1" applyFill="1" applyBorder="1" applyAlignment="1">
      <alignment horizontal="left" vertical="top"/>
    </xf>
    <xf numFmtId="0" fontId="58" fillId="5" borderId="10" xfId="0" applyFont="1" applyFill="1" applyBorder="1" applyAlignment="1">
      <alignment horizontal="left" vertical="top"/>
    </xf>
    <xf numFmtId="0" fontId="58" fillId="5" borderId="0" xfId="0" applyFont="1" applyFill="1" applyAlignment="1">
      <alignment horizontal="left" vertical="top"/>
    </xf>
    <xf numFmtId="0" fontId="5" fillId="5" borderId="7" xfId="0" applyFont="1" applyFill="1" applyBorder="1" applyAlignment="1">
      <alignment horizontal="left" vertical="top"/>
    </xf>
    <xf numFmtId="0" fontId="5" fillId="5" borderId="8" xfId="0" applyFont="1" applyFill="1" applyBorder="1" applyAlignment="1">
      <alignment horizontal="left" vertical="top"/>
    </xf>
    <xf numFmtId="0" fontId="58" fillId="5" borderId="11" xfId="0" applyFont="1" applyFill="1" applyBorder="1" applyAlignment="1">
      <alignment horizontal="left" vertical="top"/>
    </xf>
    <xf numFmtId="2" fontId="1" fillId="0" borderId="0" xfId="0" applyNumberFormat="1" applyFont="1" applyAlignment="1">
      <alignment horizontal="center" vertical="top" wrapText="1"/>
    </xf>
    <xf numFmtId="0" fontId="5" fillId="5" borderId="9" xfId="0" applyFont="1" applyFill="1" applyBorder="1" applyAlignment="1">
      <alignment horizontal="left" vertical="top"/>
    </xf>
    <xf numFmtId="0" fontId="58" fillId="5" borderId="12" xfId="0" applyFont="1" applyFill="1" applyBorder="1" applyAlignment="1">
      <alignment horizontal="left" vertical="top"/>
    </xf>
    <xf numFmtId="0" fontId="58" fillId="5" borderId="2" xfId="0" applyFont="1" applyFill="1" applyBorder="1" applyAlignment="1">
      <alignment horizontal="left" vertical="top"/>
    </xf>
    <xf numFmtId="0" fontId="58" fillId="5" borderId="13" xfId="0" applyFont="1" applyFill="1" applyBorder="1" applyAlignment="1">
      <alignment horizontal="left" vertical="top"/>
    </xf>
    <xf numFmtId="0" fontId="66" fillId="6" borderId="0" xfId="0" applyFont="1" applyFill="1" applyAlignment="1">
      <alignment horizontal="left" wrapText="1"/>
    </xf>
  </cellXfs>
  <cellStyles count="5">
    <cellStyle name="Comma" xfId="3" builtinId="3"/>
    <cellStyle name="Currency" xfId="4" builtinId="4"/>
    <cellStyle name="Normal" xfId="0" builtinId="0"/>
    <cellStyle name="Normal 2" xfId="1" xr:uid="{00000000-0005-0000-0000-000002000000}"/>
    <cellStyle name="Percent 2" xfId="2" xr:uid="{00000000-0005-0000-0000-000003000000}"/>
  </cellStyles>
  <dxfs count="165">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center"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4"/>
        <color auto="1"/>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4"/>
        <color auto="1"/>
        <name val="Arial"/>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4"/>
        <color rgb="FF000000"/>
        <name val="Arial"/>
        <family val="2"/>
        <scheme val="none"/>
      </font>
      <numFmt numFmtId="2" formatCode="0.00"/>
      <fill>
        <patternFill patternType="solid">
          <fgColor indexed="64"/>
          <bgColor theme="0" tint="-0.14999847407452621"/>
        </patternFill>
      </fill>
      <alignment horizontal="center"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6"/>
        <color rgb="FF000000"/>
        <name val="Arial"/>
        <family val="2"/>
        <scheme val="none"/>
      </font>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4"/>
        <color rgb="FF000000"/>
        <name val="Arial"/>
        <family val="2"/>
        <scheme val="none"/>
      </font>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4"/>
        <color rgb="FF000000"/>
        <name val="Arial"/>
        <family val="2"/>
        <scheme val="none"/>
      </font>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i val="0"/>
        <strike val="0"/>
        <condense val="0"/>
        <extend val="0"/>
        <outline val="0"/>
        <shadow val="0"/>
        <u val="none"/>
        <vertAlign val="baseline"/>
        <sz val="14"/>
        <color rgb="FF000000"/>
        <name val="Arial"/>
        <family val="2"/>
        <scheme val="none"/>
      </font>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strike val="0"/>
        <outline val="0"/>
        <shadow val="0"/>
        <vertAlign val="baseline"/>
        <name val="Arial"/>
        <family val="2"/>
        <scheme val="none"/>
      </font>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strike val="0"/>
        <outline val="0"/>
        <shadow val="0"/>
        <u val="none"/>
        <vertAlign val="baseline"/>
        <sz val="12"/>
        <color rgb="FF000000"/>
        <name val="Arial"/>
        <family val="2"/>
        <scheme val="none"/>
      </font>
      <fill>
        <patternFill patternType="solid">
          <fgColor indexed="64"/>
          <bgColor theme="2" tint="-0.249977111117893"/>
        </patternFill>
      </fill>
      <alignment horizontal="center"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strike val="0"/>
        <outline val="0"/>
        <shadow val="0"/>
        <vertAlign val="baseline"/>
        <name val="Arial"/>
        <family val="2"/>
        <scheme val="none"/>
      </font>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strike val="0"/>
        <outline val="0"/>
        <shadow val="0"/>
        <vertAlign val="baseline"/>
        <name val="Arial"/>
        <family val="2"/>
        <scheme val="none"/>
      </font>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strike val="0"/>
        <outline val="0"/>
        <shadow val="0"/>
        <vertAlign val="baseline"/>
        <name val="Arial"/>
        <family val="2"/>
        <scheme val="none"/>
      </font>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strike val="0"/>
        <outline val="0"/>
        <shadow val="0"/>
        <vertAlign val="baseline"/>
        <name val="Arial"/>
        <family val="2"/>
        <scheme val="none"/>
      </font>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6"/>
        <color rgb="FF000000"/>
        <name val="Arial"/>
        <family val="2"/>
        <scheme val="none"/>
      </font>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fill>
        <patternFill patternType="none">
          <fgColor indexed="64"/>
          <bgColor rgb="FFFFFF00"/>
        </patternFill>
      </fill>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6"/>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4"/>
        <color rgb="FF000000"/>
        <name val="Arial"/>
        <family val="2"/>
        <scheme val="none"/>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4"/>
        <color rgb="FF000000"/>
        <name val="Arial"/>
        <family val="2"/>
        <scheme val="none"/>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wrapText="0" indent="0" justifyLastLine="0" shrinkToFit="0" readingOrder="0"/>
    </dxf>
    <dxf>
      <font>
        <strike val="0"/>
        <outline val="0"/>
        <shadow val="0"/>
        <vertAlign val="baseline"/>
        <name val="Arial"/>
        <family val="2"/>
        <scheme val="none"/>
      </font>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rgb="FF000000"/>
        <name val="Arial"/>
        <scheme val="none"/>
      </font>
      <fill>
        <patternFill patternType="none">
          <fgColor rgb="FF000000"/>
          <bgColor rgb="FFFFFFFF"/>
        </patternFill>
      </fill>
      <alignment horizontal="left" vertical="top" textRotation="0" wrapText="0" indent="0" justifyLastLine="0" shrinkToFit="0" readingOrder="0"/>
    </dxf>
    <dxf>
      <fill>
        <patternFill patternType="none">
          <fgColor indexed="64"/>
          <bgColor indexed="65"/>
        </patternFill>
      </fill>
      <alignment horizontal="left" vertical="bottom" textRotation="0" wrapText="1" indent="0" justifyLastLine="0" shrinkToFit="0" readingOrder="0"/>
    </dxf>
  </dxfs>
  <tableStyles count="0" defaultTableStyle="TableStyleMedium2" defaultPivotStyle="PivotStyleLight16"/>
  <colors>
    <mruColors>
      <color rgb="FFCC0033"/>
      <color rgb="FFFF43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1343025</xdr:colOff>
      <xdr:row>0</xdr:row>
      <xdr:rowOff>628650</xdr:rowOff>
    </xdr:from>
    <xdr:to>
      <xdr:col>10</xdr:col>
      <xdr:colOff>1323975</xdr:colOff>
      <xdr:row>0</xdr:row>
      <xdr:rowOff>1219200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1343025</xdr:colOff>
      <xdr:row>0</xdr:row>
      <xdr:rowOff>628650</xdr:rowOff>
    </xdr:from>
    <xdr:to>
      <xdr:col>10</xdr:col>
      <xdr:colOff>1323975</xdr:colOff>
      <xdr:row>0</xdr:row>
      <xdr:rowOff>1219200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1343025</xdr:colOff>
      <xdr:row>0</xdr:row>
      <xdr:rowOff>0</xdr:rowOff>
    </xdr:from>
    <xdr:to>
      <xdr:col>10</xdr:col>
      <xdr:colOff>1323975</xdr:colOff>
      <xdr:row>0</xdr:row>
      <xdr:rowOff>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1343025</xdr:colOff>
      <xdr:row>0</xdr:row>
      <xdr:rowOff>0</xdr:rowOff>
    </xdr:from>
    <xdr:to>
      <xdr:col>10</xdr:col>
      <xdr:colOff>0</xdr:colOff>
      <xdr:row>0</xdr:row>
      <xdr:rowOff>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068050" y="628650"/>
          <a:ext cx="4705350" cy="5905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0</xdr:row>
      <xdr:rowOff>628650</xdr:rowOff>
    </xdr:from>
    <xdr:to>
      <xdr:col>5</xdr:col>
      <xdr:colOff>1323975</xdr:colOff>
      <xdr:row>0</xdr:row>
      <xdr:rowOff>1219200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090775" y="228600"/>
          <a:ext cx="858520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2023-2024</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1343025</xdr:colOff>
      <xdr:row>0</xdr:row>
      <xdr:rowOff>628650</xdr:rowOff>
    </xdr:from>
    <xdr:to>
      <xdr:col>13</xdr:col>
      <xdr:colOff>0</xdr:colOff>
      <xdr:row>0</xdr:row>
      <xdr:rowOff>1219200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0</xdr:colOff>
      <xdr:row>0</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10</xdr:col>
      <xdr:colOff>1323975</xdr:colOff>
      <xdr:row>0</xdr:row>
      <xdr:rowOff>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1661775" y="228600"/>
          <a:ext cx="50482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sz="1300">
            <a:latin typeface="Arial Black" panose="020B0A040201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1068050" y="238125"/>
          <a:ext cx="4705350" cy="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US" sz="1300">
              <a:latin typeface="Arial Black" panose="020B0A04020102020204" pitchFamily="34" charset="0"/>
            </a:rPr>
            <a:t>2019-2020</a:t>
          </a:r>
          <a:r>
            <a:rPr lang="en-US" sz="1300" baseline="0">
              <a:latin typeface="Arial Black" panose="020B0A04020102020204" pitchFamily="34" charset="0"/>
            </a:rPr>
            <a:t> Tuition &amp; Fees By Semester</a:t>
          </a:r>
        </a:p>
        <a:p>
          <a:pPr algn="ctr"/>
          <a:r>
            <a:rPr lang="en-US" sz="1300" baseline="0">
              <a:latin typeface="Arial Black" panose="020B0A04020102020204" pitchFamily="34" charset="0"/>
            </a:rPr>
            <a:t>Undergraduate Schools - New Brunswick</a:t>
          </a:r>
          <a:endParaRPr lang="en-US" sz="1300">
            <a:latin typeface="Arial Black" panose="020B0A040201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3" displayName="Table33" ref="A7:P39" totalsRowShown="0" headerRowDxfId="164" dataDxfId="163">
  <autoFilter ref="A7:P39" xr:uid="{00000000-0009-0000-0100-000002000000}"/>
  <tableColumns count="16">
    <tableColumn id="1" xr3:uid="{00000000-0010-0000-0000-000001000000}" name="Column1" dataDxfId="162"/>
    <tableColumn id="2" xr3:uid="{00000000-0010-0000-0000-000002000000}" name="Column2" dataDxfId="161"/>
    <tableColumn id="3" xr3:uid="{00000000-0010-0000-0000-000003000000}" name="Column3" dataDxfId="160"/>
    <tableColumn id="4" xr3:uid="{00000000-0010-0000-0000-000004000000}" name="Column4" dataDxfId="159"/>
    <tableColumn id="5" xr3:uid="{00000000-0010-0000-0000-000005000000}" name="Column5" dataDxfId="158"/>
    <tableColumn id="6" xr3:uid="{00000000-0010-0000-0000-000006000000}" name="Column6" dataDxfId="157"/>
    <tableColumn id="7" xr3:uid="{00000000-0010-0000-0000-000007000000}" name="Column7" dataDxfId="156"/>
    <tableColumn id="8" xr3:uid="{00000000-0010-0000-0000-000008000000}" name="Column8" dataDxfId="155"/>
    <tableColumn id="9" xr3:uid="{00000000-0010-0000-0000-000009000000}" name="Column9" dataDxfId="154"/>
    <tableColumn id="10" xr3:uid="{00000000-0010-0000-0000-00000A000000}" name="Column10" dataDxfId="153"/>
    <tableColumn id="11" xr3:uid="{00000000-0010-0000-0000-00000B000000}" name="Column11" dataDxfId="152"/>
    <tableColumn id="12" xr3:uid="{00000000-0010-0000-0000-00000C000000}" name="Column12"/>
    <tableColumn id="13" xr3:uid="{00000000-0010-0000-0000-00000D000000}" name="Column13" dataDxfId="151"/>
    <tableColumn id="14" xr3:uid="{00000000-0010-0000-0000-00000E000000}" name="Column14" dataDxfId="150"/>
    <tableColumn id="15" xr3:uid="{00000000-0010-0000-0000-00000F000000}" name="Column15" dataDxfId="149"/>
    <tableColumn id="16" xr3:uid="{00000000-0010-0000-0000-000010000000}" name="Column16" dataDxfId="148"/>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38912" displayName="Table38912" ref="A6:L33" totalsRowShown="0" headerRowDxfId="33" dataDxfId="32">
  <autoFilter ref="A6:L33" xr:uid="{00000000-0009-0000-0100-00000B000000}"/>
  <tableColumns count="12">
    <tableColumn id="1" xr3:uid="{00000000-0010-0000-0900-000001000000}" name="Column1" dataDxfId="31"/>
    <tableColumn id="2" xr3:uid="{00000000-0010-0000-0900-000002000000}" name="Column2" dataDxfId="30"/>
    <tableColumn id="8" xr3:uid="{00000000-0010-0000-0900-000008000000}" name="Column8" dataDxfId="29"/>
    <tableColumn id="9" xr3:uid="{00000000-0010-0000-0900-000009000000}" name="Column9" dataDxfId="28"/>
    <tableColumn id="6" xr3:uid="{AEF53652-2BFC-4B79-B90A-869208C7CA7C}" name="Column923" dataDxfId="27"/>
    <tableColumn id="4" xr3:uid="{00000000-0010-0000-0900-000004000000}" name="Column92" dataDxfId="26"/>
    <tableColumn id="3" xr3:uid="{00000000-0010-0000-0900-000003000000}" name="Column922" dataDxfId="25"/>
    <tableColumn id="5" xr3:uid="{98F800EB-01A5-41C2-BE59-692AD3D632DB}" name="Column9222" dataDxfId="24"/>
    <tableColumn id="7" xr3:uid="{3F81D77A-1692-4BC0-B48B-AA10646AE479}" name="Column9223" dataDxfId="23"/>
    <tableColumn id="10" xr3:uid="{00000000-0010-0000-0900-00000A000000}" name="Column10" dataDxfId="22"/>
    <tableColumn id="11" xr3:uid="{00000000-0010-0000-0900-00000B000000}" name="Column11" dataDxfId="21"/>
    <tableColumn id="13" xr3:uid="{00000000-0010-0000-0900-00000D000000}" name="Column13" dataDxfId="20"/>
  </tableColumns>
  <tableStyleInfo name="TableStyleLight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Table38910" displayName="Table38910" ref="A6:D19" totalsRowShown="0" headerRowDxfId="19" dataDxfId="18">
  <autoFilter ref="A6:D19" xr:uid="{00000000-0009-0000-0100-000009000000}"/>
  <tableColumns count="4">
    <tableColumn id="1" xr3:uid="{00000000-0010-0000-0A00-000001000000}" name="Column1" dataDxfId="17"/>
    <tableColumn id="2" xr3:uid="{00000000-0010-0000-0A00-000002000000}" name="Column2" dataDxfId="16"/>
    <tableColumn id="3" xr3:uid="{00000000-0010-0000-0A00-000003000000}" name="Column3" dataDxfId="15"/>
    <tableColumn id="4" xr3:uid="{00000000-0010-0000-0A00-000004000000}" name="Column4" dataDxfId="14"/>
  </tableColumns>
  <tableStyleInfo name="TableStyleLight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B000000}" name="Table38911" displayName="Table38911" ref="A6:L19" totalsRowShown="0" headerRowDxfId="13" dataDxfId="12">
  <autoFilter ref="A6:L19" xr:uid="{00000000-0009-0000-0100-00000A000000}"/>
  <tableColumns count="12">
    <tableColumn id="1" xr3:uid="{00000000-0010-0000-0B00-000001000000}" name="Column1" dataDxfId="11"/>
    <tableColumn id="2" xr3:uid="{00000000-0010-0000-0B00-000002000000}" name="Column2" dataDxfId="10"/>
    <tableColumn id="3" xr3:uid="{00000000-0010-0000-0B00-000003000000}" name="Column3" dataDxfId="9"/>
    <tableColumn id="4" xr3:uid="{00000000-0010-0000-0B00-000004000000}" name="Column4" dataDxfId="8"/>
    <tableColumn id="5" xr3:uid="{00000000-0010-0000-0B00-000005000000}" name="Column5" dataDxfId="7"/>
    <tableColumn id="6" xr3:uid="{00000000-0010-0000-0B00-000006000000}" name="Column6" dataDxfId="6"/>
    <tableColumn id="7" xr3:uid="{00000000-0010-0000-0B00-000007000000}" name="Column72" dataDxfId="5"/>
    <tableColumn id="8" xr3:uid="{00000000-0010-0000-0B00-000008000000}" name="Column8" dataDxfId="4"/>
    <tableColumn id="9" xr3:uid="{00000000-0010-0000-0B00-000009000000}" name="Column9" dataDxfId="3"/>
    <tableColumn id="10" xr3:uid="{00000000-0010-0000-0B00-00000A000000}" name="Column10" dataDxfId="2"/>
    <tableColumn id="17" xr3:uid="{C31833FE-3F77-4B2F-972D-04319A91E73B}" name="Column102" dataDxfId="1"/>
    <tableColumn id="11" xr3:uid="{00000000-0010-0000-0B00-00000B000000}" name="Column11" dataDxfId="0"/>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4" displayName="Table34" ref="A7:P39" totalsRowShown="0" headerRowDxfId="147" dataDxfId="146">
  <autoFilter ref="A7:P39" xr:uid="{00000000-0009-0000-0100-000003000000}"/>
  <tableColumns count="16">
    <tableColumn id="1" xr3:uid="{00000000-0010-0000-0100-000001000000}" name="Column1" dataDxfId="145"/>
    <tableColumn id="2" xr3:uid="{00000000-0010-0000-0100-000002000000}" name="Column2" dataDxfId="144"/>
    <tableColumn id="3" xr3:uid="{00000000-0010-0000-0100-000003000000}" name="Column3" dataDxfId="143"/>
    <tableColumn id="4" xr3:uid="{00000000-0010-0000-0100-000004000000}" name="Column4" dataDxfId="142"/>
    <tableColumn id="5" xr3:uid="{00000000-0010-0000-0100-000005000000}" name="Column5" dataDxfId="141"/>
    <tableColumn id="6" xr3:uid="{00000000-0010-0000-0100-000006000000}" name="Column6" dataDxfId="140"/>
    <tableColumn id="7" xr3:uid="{00000000-0010-0000-0100-000007000000}" name="Column7" dataDxfId="139"/>
    <tableColumn id="8" xr3:uid="{00000000-0010-0000-0100-000008000000}" name="Column8" dataDxfId="138"/>
    <tableColumn id="9" xr3:uid="{00000000-0010-0000-0100-000009000000}" name="Column9" dataDxfId="137"/>
    <tableColumn id="10" xr3:uid="{00000000-0010-0000-0100-00000A000000}" name="Column10" dataDxfId="136"/>
    <tableColumn id="11" xr3:uid="{00000000-0010-0000-0100-00000B000000}" name="Column11" dataDxfId="135"/>
    <tableColumn id="12" xr3:uid="{00000000-0010-0000-0100-00000C000000}" name="Column12"/>
    <tableColumn id="13" xr3:uid="{00000000-0010-0000-0100-00000D000000}" name="Column13" dataDxfId="134"/>
    <tableColumn id="14" xr3:uid="{00000000-0010-0000-0100-00000E000000}" name="Column14" dataDxfId="133"/>
    <tableColumn id="15" xr3:uid="{00000000-0010-0000-0100-00000F000000}" name="Column15" dataDxfId="132"/>
    <tableColumn id="16" xr3:uid="{00000000-0010-0000-0100-000010000000}" name="Column16" dataDxfId="131"/>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37" displayName="Table37" ref="A6:L32" totalsRowShown="0" headerRowDxfId="130" dataDxfId="129">
  <autoFilter ref="A6:L32" xr:uid="{00000000-0009-0000-0100-000006000000}"/>
  <tableColumns count="12">
    <tableColumn id="1" xr3:uid="{00000000-0010-0000-0200-000001000000}" name="Column1" dataDxfId="128"/>
    <tableColumn id="2" xr3:uid="{00000000-0010-0000-0200-000002000000}" name="Column2" dataDxfId="127"/>
    <tableColumn id="3" xr3:uid="{00000000-0010-0000-0200-000003000000}" name="Column3" dataDxfId="126"/>
    <tableColumn id="4" xr3:uid="{00000000-0010-0000-0200-000004000000}" name="Column4" dataDxfId="125"/>
    <tableColumn id="5" xr3:uid="{00000000-0010-0000-0200-000005000000}" name="Column5" dataDxfId="124"/>
    <tableColumn id="6" xr3:uid="{00000000-0010-0000-0200-000006000000}" name="Column6" dataDxfId="123"/>
    <tableColumn id="7" xr3:uid="{00000000-0010-0000-0200-000007000000}" name="Column7" dataDxfId="122"/>
    <tableColumn id="8" xr3:uid="{00000000-0010-0000-0200-000008000000}" name="Column8" dataDxfId="121"/>
    <tableColumn id="9" xr3:uid="{00000000-0010-0000-0200-000009000000}" name="Column9" dataDxfId="120"/>
    <tableColumn id="10" xr3:uid="{00000000-0010-0000-0200-00000A000000}" name="Column10" dataDxfId="119"/>
    <tableColumn id="11" xr3:uid="{00000000-0010-0000-0200-00000B000000}" name="Column11" dataDxfId="118"/>
    <tableColumn id="12" xr3:uid="{00000000-0010-0000-0200-00000C000000}" name="Column12"/>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5" displayName="Table35" ref="A7:S34" totalsRowShown="0" headerRowDxfId="117" dataDxfId="116">
  <autoFilter ref="A7:S34" xr:uid="{00000000-0009-0000-0100-000004000000}"/>
  <tableColumns count="19">
    <tableColumn id="1" xr3:uid="{00000000-0010-0000-0300-000001000000}" name="Column1" dataDxfId="115"/>
    <tableColumn id="2" xr3:uid="{00000000-0010-0000-0300-000002000000}" name="Column2" dataDxfId="114"/>
    <tableColumn id="3" xr3:uid="{00000000-0010-0000-0300-000003000000}" name="Column3" dataDxfId="113"/>
    <tableColumn id="4" xr3:uid="{00000000-0010-0000-0300-000004000000}" name="Column4" dataDxfId="112"/>
    <tableColumn id="20" xr3:uid="{00000000-0010-0000-0300-000014000000}" name="Column43" dataDxfId="111"/>
    <tableColumn id="19" xr3:uid="{00000000-0010-0000-0300-000013000000}" name="Column42" dataDxfId="110"/>
    <tableColumn id="5" xr3:uid="{00000000-0010-0000-0300-000005000000}" name="Column5" dataDxfId="109"/>
    <tableColumn id="6" xr3:uid="{00000000-0010-0000-0300-000006000000}" name="Column6" dataDxfId="108"/>
    <tableColumn id="21" xr3:uid="{FE4F2853-59FA-402F-88C0-B7A96D2523EE}" name="Column62" dataDxfId="107"/>
    <tableColumn id="7" xr3:uid="{00000000-0010-0000-0300-000007000000}" name="Column7" dataDxfId="106"/>
    <tableColumn id="8" xr3:uid="{00000000-0010-0000-0300-000008000000}" name="Column8" dataDxfId="105"/>
    <tableColumn id="18" xr3:uid="{00000000-0010-0000-0300-000012000000}" name="Column82" dataDxfId="104"/>
    <tableColumn id="9" xr3:uid="{00000000-0010-0000-0300-000009000000}" name="Column9" dataDxfId="103"/>
    <tableColumn id="17" xr3:uid="{00000000-0010-0000-0300-000011000000}" name="Column92" dataDxfId="102"/>
    <tableColumn id="22" xr3:uid="{A1A8D93A-33C7-4691-B2C7-FDECE869CD05}" name="Column922" dataDxfId="101"/>
    <tableColumn id="10" xr3:uid="{00000000-0010-0000-0300-00000A000000}" name="Column10" dataDxfId="100"/>
    <tableColumn id="11" xr3:uid="{00000000-0010-0000-0300-00000B000000}" name="Column11" dataDxfId="99"/>
    <tableColumn id="12" xr3:uid="{00000000-0010-0000-0300-00000C000000}" name="Column12" dataDxfId="98"/>
    <tableColumn id="13" xr3:uid="{00000000-0010-0000-0300-00000D000000}" name="Column122" dataDxfId="97"/>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356" displayName="Table356" ref="A7:P22" totalsRowShown="0" headerRowDxfId="96" dataDxfId="95">
  <autoFilter ref="A7:P22" xr:uid="{00000000-0009-0000-0100-000005000000}"/>
  <tableColumns count="16">
    <tableColumn id="1" xr3:uid="{00000000-0010-0000-0400-000001000000}" name="Column1" dataDxfId="94"/>
    <tableColumn id="2" xr3:uid="{00000000-0010-0000-0400-000002000000}" name="Column2" dataDxfId="93"/>
    <tableColumn id="3" xr3:uid="{00000000-0010-0000-0400-000003000000}" name="Column3" dataDxfId="92"/>
    <tableColumn id="4" xr3:uid="{00000000-0010-0000-0400-000004000000}" name="Column4" dataDxfId="91"/>
    <tableColumn id="10" xr3:uid="{EEB35567-32F4-4BD4-AC0D-226F2B0039BA}" name="Column9" dataDxfId="90"/>
    <tableColumn id="5" xr3:uid="{00000000-0010-0000-0400-000005000000}" name="Column5" dataDxfId="89"/>
    <tableColumn id="6" xr3:uid="{00000000-0010-0000-0400-000006000000}" name="Column6" dataDxfId="88"/>
    <tableColumn id="7" xr3:uid="{00000000-0010-0000-0400-000007000000}" name="Column7" dataDxfId="87"/>
    <tableColumn id="19" xr3:uid="{93430B56-0D25-4E4A-BBB0-54C83A54E597}" name="Column823" dataDxfId="86"/>
    <tableColumn id="8" xr3:uid="{00000000-0010-0000-0400-000008000000}" name="Column8" dataDxfId="85"/>
    <tableColumn id="21" xr3:uid="{EC268C9A-5957-4866-8C2B-D504F854D103}" name="Column85" dataDxfId="84"/>
    <tableColumn id="18" xr3:uid="{C34835BB-8278-43F3-A58D-D6E448FDB359}" name="Column84" dataDxfId="83"/>
    <tableColumn id="17" xr3:uid="{FE5DC567-908F-4846-B4A1-328723864750}" name="Column83" dataDxfId="82"/>
    <tableColumn id="9" xr3:uid="{1AF13A22-5D4A-4DAF-A7BA-D46A8517BF9A}" name="Column822" dataDxfId="81"/>
    <tableColumn id="11" xr3:uid="{00000000-0010-0000-0400-00000B000000}" name="Column82" dataDxfId="80"/>
    <tableColumn id="12" xr3:uid="{00000000-0010-0000-0400-00000C000000}" name="Column824" dataDxfId="79"/>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3" displayName="Table3" ref="A6:J32" totalsRowShown="0" headerRowDxfId="78" dataDxfId="77">
  <autoFilter ref="A6:J32" xr:uid="{00000000-0009-0000-0100-000001000000}"/>
  <tableColumns count="10">
    <tableColumn id="1" xr3:uid="{00000000-0010-0000-0500-000001000000}" name="Column1" dataDxfId="76"/>
    <tableColumn id="2" xr3:uid="{00000000-0010-0000-0500-000002000000}" name="Column2" dataDxfId="75"/>
    <tableColumn id="3" xr3:uid="{00000000-0010-0000-0500-000003000000}" name="Column3" dataDxfId="74"/>
    <tableColumn id="4" xr3:uid="{00000000-0010-0000-0500-000004000000}" name="Column4" dataDxfId="73"/>
    <tableColumn id="5" xr3:uid="{00000000-0010-0000-0500-000005000000}" name="Column5" dataDxfId="72"/>
    <tableColumn id="18" xr3:uid="{321CC84C-9DFD-4915-A5B7-5D06950ADF2B}" name="Column52" dataDxfId="71"/>
    <tableColumn id="6" xr3:uid="{00000000-0010-0000-0500-000006000000}" name="Column6" dataDxfId="70"/>
    <tableColumn id="17" xr3:uid="{162BDB4A-2CDD-4E16-B94E-4F03BD870EBF}" name="Column62" dataDxfId="69"/>
    <tableColumn id="7" xr3:uid="{00000000-0010-0000-0500-000007000000}" name="Column7" dataDxfId="68"/>
    <tableColumn id="8" xr3:uid="{00000000-0010-0000-0500-000008000000}" name="Column8" dataDxfId="67"/>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6000000}" name="Table3813" displayName="Table3813" ref="A7:H34" totalsRowShown="0" headerRowDxfId="66" dataDxfId="65">
  <autoFilter ref="A7:H34" xr:uid="{00000000-0009-0000-0100-00000C000000}"/>
  <tableColumns count="8">
    <tableColumn id="1" xr3:uid="{00000000-0010-0000-0600-000001000000}" name="Column1" dataDxfId="64"/>
    <tableColumn id="2" xr3:uid="{00000000-0010-0000-0600-000002000000}" name="Column2" dataDxfId="63"/>
    <tableColumn id="3" xr3:uid="{00000000-0010-0000-0600-000003000000}" name="Column3" dataDxfId="62"/>
    <tableColumn id="9" xr3:uid="{00000000-0010-0000-0600-000009000000}" name="Column9" dataDxfId="61"/>
    <tableColumn id="10" xr3:uid="{00000000-0010-0000-0600-00000A000000}" name="Column10" dataDxfId="60"/>
    <tableColumn id="11" xr3:uid="{00000000-0010-0000-0600-00000B000000}" name="Column11" dataDxfId="59"/>
    <tableColumn id="4" xr3:uid="{68AE11F2-73E5-4E05-98CB-CBDD38A1687D}" name="Column112" dataDxfId="58"/>
    <tableColumn id="12" xr3:uid="{00000000-0010-0000-0600-00000C000000}" name="Column12" dataDxfId="57"/>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e38" displayName="Table38" ref="A7:M34" totalsRowShown="0" headerRowDxfId="56" dataDxfId="55">
  <autoFilter ref="A7:M34" xr:uid="{00000000-0009-0000-0100-000007000000}"/>
  <tableColumns count="13">
    <tableColumn id="1" xr3:uid="{00000000-0010-0000-0700-000001000000}" name="Column1" dataDxfId="54"/>
    <tableColumn id="2" xr3:uid="{00000000-0010-0000-0700-000002000000}" name="Column2" dataDxfId="53"/>
    <tableColumn id="6" xr3:uid="{00000000-0010-0000-0700-000006000000}" name="Column4" dataDxfId="52"/>
    <tableColumn id="5" xr3:uid="{00000000-0010-0000-0700-000005000000}" name="Column5" dataDxfId="51"/>
    <tableColumn id="10" xr3:uid="{F67746C4-4BAE-4E0E-AEEF-991E15CFE2DC}" name="Column842" dataDxfId="50"/>
    <tableColumn id="12" xr3:uid="{92D56DF5-CBDE-4AE3-9B20-37868C37A7B1}" name="Column632" dataDxfId="49"/>
    <tableColumn id="11" xr3:uid="{55E5642E-DFB7-4076-B1BB-8D09E9EB720E}" name="Column63" dataDxfId="48"/>
    <tableColumn id="4" xr3:uid="{00000000-0010-0000-0700-000004000000}" name="Column6" dataDxfId="47"/>
    <tableColumn id="13" xr3:uid="{654A76D4-67FB-4D72-803D-BDC6890A2EB9}" name="Column84" dataDxfId="46"/>
    <tableColumn id="7" xr3:uid="{00000000-0010-0000-0700-000007000000}" name="Column7" dataDxfId="45"/>
    <tableColumn id="8" xr3:uid="{00000000-0010-0000-0700-000008000000}" name="Column8" dataDxfId="44"/>
    <tableColumn id="3" xr3:uid="{AF664BEC-1E14-426E-9BDE-DB9CE2CAB886}" name="Column822" dataDxfId="43"/>
    <tableColumn id="17" xr3:uid="{00000000-0010-0000-0700-000011000000}" name="Column82" dataDxfId="42"/>
  </tableColumns>
  <tableStyleInfo name="TableStyleLight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e389" displayName="Table389" ref="A6:F32" totalsRowShown="0" headerRowDxfId="41" dataDxfId="40">
  <autoFilter ref="A6:F32" xr:uid="{00000000-0009-0000-0100-000008000000}"/>
  <tableColumns count="6">
    <tableColumn id="1" xr3:uid="{00000000-0010-0000-0800-000001000000}" name="Column1" dataDxfId="39"/>
    <tableColumn id="2" xr3:uid="{00000000-0010-0000-0800-000002000000}" name="Column2" dataDxfId="38"/>
    <tableColumn id="3" xr3:uid="{00000000-0010-0000-0800-000003000000}" name="Column3" dataDxfId="37"/>
    <tableColumn id="4" xr3:uid="{00000000-0010-0000-0800-000004000000}" name="Column4" dataDxfId="36"/>
    <tableColumn id="5" xr3:uid="{00000000-0010-0000-0800-000005000000}" name="Column5" dataDxfId="35"/>
    <tableColumn id="6" xr3:uid="{00000000-0010-0000-0800-000006000000}" name="Column6" dataDxfId="34"/>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9"/>
  <sheetViews>
    <sheetView zoomScale="60" zoomScaleNormal="60" workbookViewId="0">
      <selection activeCell="Z42" sqref="Z42"/>
    </sheetView>
  </sheetViews>
  <sheetFormatPr defaultColWidth="9.140625" defaultRowHeight="14.45"/>
  <cols>
    <col min="1" max="1" width="53.5703125" style="1" bestFit="1" customWidth="1"/>
    <col min="2" max="2" width="9.85546875" style="1" bestFit="1" customWidth="1"/>
    <col min="3" max="3" width="18.28515625" style="1" bestFit="1" customWidth="1"/>
    <col min="4" max="4" width="15.5703125" style="1" bestFit="1" customWidth="1"/>
    <col min="5" max="5" width="23" style="1" bestFit="1" customWidth="1"/>
    <col min="6" max="6" width="25.5703125" style="1" bestFit="1" customWidth="1"/>
    <col min="7" max="7" width="20.5703125" style="1" bestFit="1" customWidth="1"/>
    <col min="8" max="8" width="17.42578125" style="1" bestFit="1" customWidth="1"/>
    <col min="9" max="9" width="17.28515625" style="1" bestFit="1" customWidth="1"/>
    <col min="10" max="10" width="15.5703125" style="1" bestFit="1" customWidth="1"/>
    <col min="11" max="11" width="25.42578125" style="1" customWidth="1"/>
    <col min="12" max="12" width="17.85546875" style="1" bestFit="1" customWidth="1"/>
    <col min="13" max="13" width="10.85546875" style="1" customWidth="1"/>
    <col min="14" max="16384" width="9.140625" style="1"/>
  </cols>
  <sheetData>
    <row r="1" spans="1:16" ht="18">
      <c r="A1" s="273"/>
      <c r="B1" s="274"/>
      <c r="C1" s="274"/>
      <c r="D1" s="274"/>
      <c r="E1" s="274"/>
      <c r="F1" s="274"/>
      <c r="G1" s="274"/>
      <c r="H1" s="274"/>
      <c r="I1" s="274"/>
      <c r="J1" s="274"/>
      <c r="K1" s="274"/>
      <c r="L1" s="274"/>
      <c r="M1" s="274"/>
    </row>
    <row r="2" spans="1:16" ht="18">
      <c r="A2" s="275"/>
      <c r="B2" s="275"/>
      <c r="C2" s="2">
        <v>1</v>
      </c>
      <c r="D2" s="2">
        <v>7</v>
      </c>
      <c r="E2" s="3">
        <v>10</v>
      </c>
      <c r="F2" s="3">
        <v>11</v>
      </c>
      <c r="G2" s="3">
        <v>14</v>
      </c>
      <c r="H2" s="3">
        <v>30</v>
      </c>
      <c r="I2" s="3">
        <v>30</v>
      </c>
      <c r="J2" s="3">
        <v>33</v>
      </c>
      <c r="K2" s="3">
        <v>37</v>
      </c>
      <c r="L2" s="3">
        <v>77</v>
      </c>
    </row>
    <row r="3" spans="1:16" ht="18">
      <c r="A3" s="275"/>
      <c r="B3" s="275"/>
      <c r="C3" s="263" t="s">
        <v>0</v>
      </c>
      <c r="D3" s="4"/>
      <c r="E3" s="263" t="s">
        <v>1</v>
      </c>
      <c r="F3" s="263" t="s">
        <v>2</v>
      </c>
      <c r="G3" s="4"/>
      <c r="H3" s="4"/>
      <c r="I3" s="4"/>
      <c r="J3" s="4"/>
      <c r="K3" s="263" t="s">
        <v>3</v>
      </c>
      <c r="L3" s="4"/>
    </row>
    <row r="4" spans="1:16" ht="18">
      <c r="A4" s="275"/>
      <c r="B4" s="275"/>
      <c r="C4" s="263" t="s">
        <v>4</v>
      </c>
      <c r="D4" s="263" t="s">
        <v>5</v>
      </c>
      <c r="E4" s="263" t="s">
        <v>6</v>
      </c>
      <c r="F4" s="263" t="s">
        <v>7</v>
      </c>
      <c r="G4" s="263" t="s">
        <v>3</v>
      </c>
      <c r="H4" s="263" t="s">
        <v>3</v>
      </c>
      <c r="I4" s="263" t="s">
        <v>3</v>
      </c>
      <c r="J4" s="263" t="s">
        <v>8</v>
      </c>
      <c r="K4" s="263" t="s">
        <v>9</v>
      </c>
      <c r="L4" s="263" t="s">
        <v>2</v>
      </c>
    </row>
    <row r="5" spans="1:16" ht="18">
      <c r="A5" s="275"/>
      <c r="B5" s="275"/>
      <c r="C5" s="263" t="s">
        <v>10</v>
      </c>
      <c r="D5" s="263" t="s">
        <v>11</v>
      </c>
      <c r="E5" s="263" t="s">
        <v>12</v>
      </c>
      <c r="F5" s="263" t="s">
        <v>13</v>
      </c>
      <c r="G5" s="263" t="s">
        <v>14</v>
      </c>
      <c r="H5" s="263" t="s">
        <v>15</v>
      </c>
      <c r="I5" s="263" t="s">
        <v>15</v>
      </c>
      <c r="J5" s="263" t="s">
        <v>16</v>
      </c>
      <c r="K5" s="264" t="s">
        <v>17</v>
      </c>
      <c r="L5" s="263" t="s">
        <v>18</v>
      </c>
    </row>
    <row r="6" spans="1:16" ht="15.6">
      <c r="A6" s="275"/>
      <c r="B6" s="275"/>
      <c r="C6" s="5"/>
      <c r="D6" s="5"/>
      <c r="E6" s="5"/>
      <c r="F6" s="5"/>
      <c r="G6" s="5"/>
      <c r="H6" s="6" t="s">
        <v>19</v>
      </c>
      <c r="I6" s="6" t="s">
        <v>20</v>
      </c>
      <c r="J6" s="5"/>
      <c r="K6" s="5"/>
      <c r="L6" s="5"/>
    </row>
    <row r="7" spans="1:16" ht="29.1" hidden="1">
      <c r="A7" s="7" t="s">
        <v>21</v>
      </c>
      <c r="B7" s="5" t="s">
        <v>22</v>
      </c>
      <c r="C7" s="5" t="s">
        <v>23</v>
      </c>
      <c r="D7" s="5" t="s">
        <v>24</v>
      </c>
      <c r="E7" s="5" t="s">
        <v>25</v>
      </c>
      <c r="F7" s="5" t="s">
        <v>26</v>
      </c>
      <c r="G7" s="5" t="s">
        <v>27</v>
      </c>
      <c r="H7" s="5" t="s">
        <v>28</v>
      </c>
      <c r="I7" s="5" t="s">
        <v>29</v>
      </c>
      <c r="J7" s="5" t="s">
        <v>30</v>
      </c>
      <c r="K7" s="5" t="s">
        <v>31</v>
      </c>
      <c r="L7" s="5" t="s">
        <v>32</v>
      </c>
      <c r="M7" s="5" t="s">
        <v>33</v>
      </c>
      <c r="N7" s="5" t="s">
        <v>34</v>
      </c>
      <c r="O7" s="5" t="s">
        <v>35</v>
      </c>
      <c r="P7" s="5" t="s">
        <v>36</v>
      </c>
    </row>
    <row r="8" spans="1:16" ht="18">
      <c r="A8" s="7" t="s">
        <v>37</v>
      </c>
      <c r="B8" s="5"/>
      <c r="C8" s="5"/>
      <c r="D8" s="5"/>
      <c r="E8" s="5"/>
      <c r="F8" s="5"/>
      <c r="G8" s="5"/>
      <c r="H8" s="5"/>
      <c r="I8" s="5"/>
      <c r="J8" s="5"/>
      <c r="K8" s="5"/>
      <c r="L8" s="5"/>
      <c r="M8" s="8"/>
      <c r="N8" s="8"/>
      <c r="O8" s="8"/>
      <c r="P8" s="8"/>
    </row>
    <row r="9" spans="1:16" s="13" customFormat="1" ht="17.45">
      <c r="A9" s="9" t="s">
        <v>38</v>
      </c>
      <c r="B9" s="10"/>
      <c r="C9" s="11">
        <v>6115</v>
      </c>
      <c r="D9" s="11">
        <v>6340</v>
      </c>
      <c r="E9" s="11">
        <v>6115</v>
      </c>
      <c r="F9" s="11">
        <v>6873</v>
      </c>
      <c r="G9" s="11">
        <v>7002</v>
      </c>
      <c r="H9" s="11">
        <v>6964</v>
      </c>
      <c r="I9" s="11">
        <v>7018</v>
      </c>
      <c r="J9" s="11">
        <v>6300</v>
      </c>
      <c r="K9" s="11">
        <v>6115</v>
      </c>
      <c r="L9" s="11">
        <v>7158</v>
      </c>
      <c r="M9" s="12"/>
      <c r="N9" s="12"/>
      <c r="O9" s="12"/>
      <c r="P9" s="12"/>
    </row>
    <row r="10" spans="1:16" s="13" customFormat="1" ht="17.45">
      <c r="A10" s="9" t="s">
        <v>39</v>
      </c>
      <c r="B10" s="10"/>
      <c r="C10" s="11">
        <v>14506</v>
      </c>
      <c r="D10" s="11">
        <v>14370</v>
      </c>
      <c r="E10" s="11">
        <v>14506</v>
      </c>
      <c r="F10" s="11">
        <v>16287</v>
      </c>
      <c r="G10" s="11">
        <v>16950</v>
      </c>
      <c r="H10" s="11">
        <v>16453</v>
      </c>
      <c r="I10" s="11">
        <v>16897</v>
      </c>
      <c r="J10" s="11">
        <v>14515</v>
      </c>
      <c r="K10" s="11">
        <v>14506</v>
      </c>
      <c r="L10" s="11">
        <v>12487</v>
      </c>
      <c r="M10" s="12"/>
      <c r="N10" s="12"/>
      <c r="O10" s="12"/>
      <c r="P10" s="12"/>
    </row>
    <row r="11" spans="1:16" s="13" customFormat="1" ht="21">
      <c r="A11" s="9" t="s">
        <v>40</v>
      </c>
      <c r="B11" s="10"/>
      <c r="C11" s="4" t="s">
        <v>41</v>
      </c>
      <c r="D11" s="14">
        <v>1347</v>
      </c>
      <c r="E11" s="15">
        <v>1347</v>
      </c>
      <c r="F11" s="15">
        <v>1347</v>
      </c>
      <c r="G11" s="15">
        <v>1347</v>
      </c>
      <c r="H11" s="15">
        <v>1347</v>
      </c>
      <c r="I11" s="15">
        <v>1347</v>
      </c>
      <c r="J11" s="15">
        <v>1347</v>
      </c>
      <c r="K11" s="15">
        <v>1347</v>
      </c>
      <c r="L11" s="15">
        <v>1347</v>
      </c>
      <c r="M11" s="12"/>
      <c r="N11" s="12"/>
      <c r="O11" s="12"/>
      <c r="P11" s="12"/>
    </row>
    <row r="12" spans="1:16" s="13" customFormat="1" ht="21">
      <c r="A12" s="9" t="s">
        <v>42</v>
      </c>
      <c r="B12" s="10"/>
      <c r="C12" s="4" t="s">
        <v>43</v>
      </c>
      <c r="D12" s="16">
        <v>411.5</v>
      </c>
      <c r="E12" s="16">
        <v>127</v>
      </c>
      <c r="F12" s="16">
        <v>70.5</v>
      </c>
      <c r="G12" s="16">
        <v>105.75</v>
      </c>
      <c r="H12" s="16">
        <v>243.5</v>
      </c>
      <c r="I12" s="16">
        <v>243.5</v>
      </c>
      <c r="J12" s="16">
        <v>139.5</v>
      </c>
      <c r="K12" s="16">
        <v>70.5</v>
      </c>
      <c r="L12" s="16">
        <v>429.25</v>
      </c>
      <c r="M12" s="12"/>
      <c r="N12" s="12"/>
      <c r="O12" s="12"/>
      <c r="P12" s="12"/>
    </row>
    <row r="13" spans="1:16" s="20" customFormat="1" ht="18">
      <c r="A13" s="9" t="s">
        <v>44</v>
      </c>
      <c r="B13" s="17">
        <v>970</v>
      </c>
      <c r="C13" s="4"/>
      <c r="D13" s="18"/>
      <c r="E13" s="18"/>
      <c r="F13" s="18"/>
      <c r="G13" s="18"/>
      <c r="H13" s="18"/>
      <c r="I13" s="18"/>
      <c r="J13" s="18"/>
      <c r="K13" s="18"/>
      <c r="L13" s="18"/>
      <c r="M13" s="19"/>
      <c r="N13" s="19"/>
      <c r="O13" s="19"/>
      <c r="P13" s="19"/>
    </row>
    <row r="14" spans="1:16" s="13" customFormat="1" ht="18">
      <c r="A14" s="9" t="s">
        <v>45</v>
      </c>
      <c r="B14" s="4"/>
      <c r="C14" s="21" t="s">
        <v>46</v>
      </c>
      <c r="D14" s="16">
        <v>171</v>
      </c>
      <c r="E14" s="16">
        <v>171</v>
      </c>
      <c r="F14" s="16">
        <v>171</v>
      </c>
      <c r="G14" s="16">
        <v>171</v>
      </c>
      <c r="H14" s="16">
        <v>171</v>
      </c>
      <c r="I14" s="16">
        <v>171</v>
      </c>
      <c r="J14" s="16">
        <v>171</v>
      </c>
      <c r="K14" s="16">
        <v>171</v>
      </c>
      <c r="L14" s="16">
        <v>171</v>
      </c>
      <c r="M14" s="12"/>
      <c r="N14" s="12"/>
      <c r="O14" s="12"/>
      <c r="P14" s="12"/>
    </row>
    <row r="15" spans="1:16" s="13" customFormat="1" ht="18">
      <c r="A15" s="9" t="s">
        <v>47</v>
      </c>
      <c r="B15" s="4"/>
      <c r="C15" s="16">
        <v>11.2</v>
      </c>
      <c r="D15" s="22">
        <v>11.2</v>
      </c>
      <c r="E15" s="4"/>
      <c r="F15" s="16">
        <v>11.2</v>
      </c>
      <c r="G15" s="16">
        <v>11.2</v>
      </c>
      <c r="H15" s="16">
        <v>11.2</v>
      </c>
      <c r="I15" s="16">
        <v>11.2</v>
      </c>
      <c r="J15" s="16">
        <v>11.2</v>
      </c>
      <c r="K15" s="4"/>
      <c r="L15" s="16">
        <v>11.2</v>
      </c>
      <c r="M15" s="12"/>
      <c r="N15" s="12"/>
      <c r="O15" s="12"/>
      <c r="P15" s="12"/>
    </row>
    <row r="16" spans="1:16" ht="18">
      <c r="A16" s="9" t="s">
        <v>48</v>
      </c>
      <c r="B16" s="23"/>
      <c r="C16" s="24"/>
      <c r="D16" s="23"/>
      <c r="E16" s="23"/>
      <c r="F16" s="23"/>
      <c r="G16" s="23"/>
      <c r="H16" s="23"/>
      <c r="I16" s="23"/>
      <c r="J16" s="23"/>
      <c r="K16" s="23"/>
      <c r="L16" s="23"/>
      <c r="M16" s="8"/>
      <c r="N16" s="8"/>
      <c r="O16" s="8"/>
      <c r="P16" s="8"/>
    </row>
    <row r="17" spans="1:16" ht="18">
      <c r="A17" s="25"/>
      <c r="B17" s="23"/>
      <c r="C17" s="24"/>
      <c r="D17" s="23"/>
      <c r="E17" s="23"/>
      <c r="F17" s="23"/>
      <c r="G17" s="23"/>
      <c r="H17" s="23"/>
      <c r="I17" s="23"/>
      <c r="J17" s="23"/>
      <c r="K17" s="23"/>
      <c r="L17" s="23"/>
      <c r="M17" s="8"/>
      <c r="N17" s="8"/>
      <c r="O17" s="8"/>
      <c r="P17" s="8"/>
    </row>
    <row r="18" spans="1:16" ht="18">
      <c r="A18" s="7" t="s">
        <v>49</v>
      </c>
      <c r="B18" s="23"/>
      <c r="C18" s="24"/>
      <c r="D18" s="23"/>
      <c r="E18" s="23"/>
      <c r="F18" s="23"/>
      <c r="G18" s="23"/>
      <c r="H18" s="23"/>
      <c r="I18" s="23"/>
      <c r="J18" s="23"/>
      <c r="K18" s="23"/>
      <c r="L18" s="23"/>
      <c r="M18" s="8"/>
      <c r="N18" s="8"/>
      <c r="O18" s="8"/>
      <c r="P18" s="8"/>
    </row>
    <row r="19" spans="1:16" s="13" customFormat="1" ht="18">
      <c r="A19" s="9" t="s">
        <v>50</v>
      </c>
      <c r="B19" s="4"/>
      <c r="C19" s="16">
        <v>394</v>
      </c>
      <c r="D19" s="16">
        <v>407</v>
      </c>
      <c r="E19" s="16">
        <v>394</v>
      </c>
      <c r="F19" s="16">
        <v>451</v>
      </c>
      <c r="G19" s="16">
        <v>459</v>
      </c>
      <c r="H19" s="16">
        <v>460</v>
      </c>
      <c r="I19" s="16">
        <v>459</v>
      </c>
      <c r="J19" s="16">
        <v>407</v>
      </c>
      <c r="K19" s="16">
        <v>394</v>
      </c>
      <c r="L19" s="16">
        <v>476</v>
      </c>
      <c r="M19" s="12"/>
      <c r="N19" s="12"/>
      <c r="O19" s="12"/>
      <c r="P19" s="12"/>
    </row>
    <row r="20" spans="1:16" s="13" customFormat="1" ht="18">
      <c r="A20" s="9" t="s">
        <v>51</v>
      </c>
      <c r="B20" s="4"/>
      <c r="C20" s="16">
        <v>942</v>
      </c>
      <c r="D20" s="16">
        <v>931</v>
      </c>
      <c r="E20" s="16">
        <v>942</v>
      </c>
      <c r="F20" s="15">
        <v>1085</v>
      </c>
      <c r="G20" s="15">
        <v>1128</v>
      </c>
      <c r="H20" s="15">
        <v>1095</v>
      </c>
      <c r="I20" s="15">
        <v>1123</v>
      </c>
      <c r="J20" s="16">
        <v>942</v>
      </c>
      <c r="K20" s="16">
        <v>942</v>
      </c>
      <c r="L20" s="16">
        <v>832</v>
      </c>
      <c r="M20" s="12"/>
      <c r="N20" s="12"/>
      <c r="O20" s="12"/>
      <c r="P20" s="12"/>
    </row>
    <row r="21" spans="1:16" s="13" customFormat="1" ht="18">
      <c r="A21" s="9" t="s">
        <v>40</v>
      </c>
      <c r="B21" s="4"/>
      <c r="C21" s="4" t="s">
        <v>52</v>
      </c>
      <c r="D21" s="16">
        <v>304.5</v>
      </c>
      <c r="E21" s="16">
        <v>304.5</v>
      </c>
      <c r="F21" s="16">
        <v>304.5</v>
      </c>
      <c r="G21" s="16">
        <v>304.5</v>
      </c>
      <c r="H21" s="16">
        <v>304.5</v>
      </c>
      <c r="I21" s="16">
        <v>304.5</v>
      </c>
      <c r="J21" s="16">
        <v>304.5</v>
      </c>
      <c r="K21" s="16">
        <v>304.5</v>
      </c>
      <c r="L21" s="16">
        <v>304.5</v>
      </c>
      <c r="M21" s="12"/>
      <c r="N21" s="12"/>
      <c r="O21" s="12"/>
      <c r="P21" s="12"/>
    </row>
    <row r="22" spans="1:16" s="13" customFormat="1" ht="18">
      <c r="A22" s="9" t="s">
        <v>42</v>
      </c>
      <c r="B22" s="4"/>
      <c r="C22" s="4" t="s">
        <v>53</v>
      </c>
      <c r="D22" s="16">
        <v>118.5</v>
      </c>
      <c r="E22" s="16">
        <v>56</v>
      </c>
      <c r="F22" s="16">
        <v>28</v>
      </c>
      <c r="G22" s="16">
        <v>44.75</v>
      </c>
      <c r="H22" s="16">
        <v>52</v>
      </c>
      <c r="I22" s="16">
        <v>52</v>
      </c>
      <c r="J22" s="16">
        <v>61.5</v>
      </c>
      <c r="K22" s="16">
        <v>28</v>
      </c>
      <c r="L22" s="16">
        <v>403.75</v>
      </c>
      <c r="M22" s="12"/>
      <c r="N22" s="12"/>
      <c r="O22" s="12"/>
      <c r="P22" s="12"/>
    </row>
    <row r="23" spans="1:16" customFormat="1" ht="18">
      <c r="A23" s="26" t="s">
        <v>44</v>
      </c>
      <c r="B23" s="27">
        <v>279</v>
      </c>
      <c r="C23" s="28"/>
      <c r="D23" s="28"/>
      <c r="E23" s="28"/>
      <c r="F23" s="28"/>
      <c r="G23" s="28"/>
      <c r="H23" s="28"/>
      <c r="I23" s="28"/>
      <c r="J23" s="28"/>
      <c r="K23" s="28"/>
      <c r="L23" s="28"/>
      <c r="M23" s="29"/>
      <c r="N23" s="29"/>
      <c r="O23" s="29"/>
      <c r="P23" s="29"/>
    </row>
    <row r="24" spans="1:16" s="13" customFormat="1" ht="18">
      <c r="A24" s="9" t="s">
        <v>54</v>
      </c>
      <c r="B24" s="10"/>
      <c r="C24" s="16">
        <v>5.5</v>
      </c>
      <c r="D24" s="16">
        <v>5.5</v>
      </c>
      <c r="E24" s="4"/>
      <c r="F24" s="16">
        <v>5.5</v>
      </c>
      <c r="G24" s="16">
        <v>5.5</v>
      </c>
      <c r="H24" s="16">
        <v>5.5</v>
      </c>
      <c r="I24" s="16">
        <v>5.5</v>
      </c>
      <c r="J24" s="16">
        <v>5.5</v>
      </c>
      <c r="K24" s="4"/>
      <c r="L24" s="16">
        <v>5.5</v>
      </c>
      <c r="M24" s="12"/>
      <c r="N24" s="12"/>
      <c r="O24" s="12"/>
      <c r="P24" s="12"/>
    </row>
    <row r="25" spans="1:16" ht="18">
      <c r="A25" s="9" t="s">
        <v>55</v>
      </c>
      <c r="B25" s="30"/>
      <c r="C25" s="30"/>
      <c r="D25" s="23"/>
      <c r="E25" s="30"/>
      <c r="F25" s="30"/>
      <c r="G25" s="30"/>
      <c r="H25" s="30"/>
      <c r="I25" s="30"/>
      <c r="J25" s="30"/>
      <c r="K25" s="30"/>
      <c r="L25" s="30"/>
      <c r="M25" s="8"/>
      <c r="N25" s="8"/>
      <c r="O25" s="8"/>
      <c r="P25" s="8"/>
    </row>
    <row r="26" spans="1:16" ht="18">
      <c r="A26" s="9" t="s">
        <v>56</v>
      </c>
      <c r="B26" s="30"/>
      <c r="C26" s="30"/>
      <c r="D26" s="7" t="s">
        <v>57</v>
      </c>
      <c r="E26" s="30"/>
      <c r="F26" s="30"/>
      <c r="G26" s="30"/>
      <c r="H26" s="30"/>
      <c r="I26" s="30"/>
      <c r="J26" s="30"/>
      <c r="K26" s="30"/>
      <c r="L26" s="30"/>
      <c r="M26" s="8"/>
      <c r="N26" s="8"/>
      <c r="O26" s="8"/>
      <c r="P26" s="8"/>
    </row>
    <row r="27" spans="1:16" ht="15.6">
      <c r="M27" s="8"/>
      <c r="N27" s="8"/>
      <c r="O27" s="8"/>
      <c r="P27" s="8"/>
    </row>
    <row r="28" spans="1:16" ht="15.6">
      <c r="A28" s="19" t="s">
        <v>58</v>
      </c>
      <c r="B28" s="19" t="s">
        <v>59</v>
      </c>
      <c r="C28" s="31">
        <v>88.5</v>
      </c>
      <c r="D28" s="8"/>
      <c r="E28" s="8"/>
      <c r="F28" s="8"/>
      <c r="G28" s="8"/>
      <c r="H28" s="8"/>
      <c r="I28" s="8"/>
      <c r="J28" s="8"/>
      <c r="K28" s="8"/>
      <c r="M28" s="8"/>
      <c r="N28" s="8"/>
      <c r="O28" s="8"/>
      <c r="P28" s="8"/>
    </row>
    <row r="29" spans="1:16" ht="15.6">
      <c r="A29" s="8"/>
      <c r="B29" s="19">
        <v>2</v>
      </c>
      <c r="C29" s="31">
        <v>96</v>
      </c>
      <c r="D29" s="8"/>
      <c r="E29" s="8"/>
      <c r="F29" s="8"/>
      <c r="G29" s="8"/>
      <c r="H29" s="8"/>
      <c r="I29" s="8"/>
      <c r="J29" s="8"/>
      <c r="K29" s="8"/>
      <c r="M29" s="8"/>
      <c r="N29" s="8"/>
      <c r="O29" s="8"/>
      <c r="P29" s="8"/>
    </row>
    <row r="30" spans="1:16" ht="15.6">
      <c r="A30" s="8"/>
      <c r="B30" s="19">
        <v>3</v>
      </c>
      <c r="C30" s="31">
        <v>103.5</v>
      </c>
      <c r="D30" s="8"/>
      <c r="E30" s="8"/>
      <c r="F30" s="8"/>
      <c r="G30" s="8"/>
      <c r="H30" s="8"/>
      <c r="I30" s="8"/>
      <c r="J30" s="8"/>
      <c r="K30" s="8"/>
      <c r="M30" s="8"/>
      <c r="N30" s="8"/>
      <c r="O30" s="8"/>
      <c r="P30" s="8"/>
    </row>
    <row r="31" spans="1:16" ht="15.6">
      <c r="A31" s="8"/>
      <c r="B31" s="19">
        <v>4</v>
      </c>
      <c r="C31" s="31">
        <v>111</v>
      </c>
      <c r="D31" s="8"/>
      <c r="E31" s="8"/>
      <c r="F31" s="8"/>
      <c r="G31" s="8"/>
      <c r="H31" s="8"/>
      <c r="I31" s="8"/>
      <c r="J31" s="8"/>
      <c r="K31" s="8"/>
      <c r="M31" s="8"/>
      <c r="N31" s="8"/>
      <c r="O31" s="8"/>
      <c r="P31" s="8"/>
    </row>
    <row r="32" spans="1:16" ht="15.6">
      <c r="A32" s="8"/>
      <c r="B32" s="19">
        <v>5</v>
      </c>
      <c r="C32" s="31">
        <v>118.5</v>
      </c>
      <c r="D32" s="8"/>
      <c r="E32" s="32" t="s">
        <v>60</v>
      </c>
      <c r="F32" s="19"/>
      <c r="G32" s="19"/>
      <c r="H32" s="19"/>
      <c r="I32" s="19"/>
      <c r="J32" s="19"/>
      <c r="K32" s="19"/>
      <c r="M32" s="8"/>
      <c r="N32" s="8"/>
      <c r="O32" s="8"/>
      <c r="P32" s="8"/>
    </row>
    <row r="33" spans="1:16" ht="15.6">
      <c r="A33" s="8"/>
      <c r="B33" s="19">
        <v>6</v>
      </c>
      <c r="C33" s="31">
        <v>126</v>
      </c>
      <c r="D33" s="8"/>
      <c r="E33" s="19"/>
      <c r="F33" s="19"/>
      <c r="G33" s="19"/>
      <c r="H33" s="19"/>
      <c r="I33" s="19"/>
      <c r="J33" s="19"/>
      <c r="K33" s="19"/>
      <c r="M33" s="8"/>
      <c r="N33" s="8"/>
      <c r="O33" s="8"/>
      <c r="P33" s="8"/>
    </row>
    <row r="34" spans="1:16" ht="15.6">
      <c r="A34" s="8"/>
      <c r="B34" s="19">
        <v>7</v>
      </c>
      <c r="C34" s="31">
        <v>133.5</v>
      </c>
      <c r="D34" s="33" t="s">
        <v>57</v>
      </c>
      <c r="E34" s="19" t="s">
        <v>61</v>
      </c>
      <c r="F34" s="19"/>
      <c r="G34" s="19"/>
      <c r="H34" s="19"/>
      <c r="I34" s="19"/>
      <c r="J34" s="19"/>
      <c r="K34" s="19"/>
      <c r="M34" s="8"/>
      <c r="N34" s="8"/>
      <c r="O34" s="8"/>
      <c r="P34" s="8"/>
    </row>
    <row r="35" spans="1:16" ht="15.6">
      <c r="A35" s="8"/>
      <c r="B35" s="19">
        <v>8</v>
      </c>
      <c r="C35" s="31">
        <v>141</v>
      </c>
      <c r="D35" s="33">
        <v>1</v>
      </c>
      <c r="E35" s="19" t="s">
        <v>62</v>
      </c>
      <c r="F35" s="19"/>
      <c r="G35" s="19"/>
      <c r="H35" s="19"/>
      <c r="I35" s="19"/>
      <c r="J35" s="19"/>
      <c r="K35" s="19"/>
      <c r="M35" s="8"/>
      <c r="N35" s="8"/>
      <c r="O35" s="8"/>
      <c r="P35" s="8"/>
    </row>
    <row r="36" spans="1:16" ht="15.6">
      <c r="A36" s="8"/>
      <c r="B36" s="19">
        <v>9</v>
      </c>
      <c r="C36" s="31">
        <v>148.5</v>
      </c>
      <c r="D36" s="33">
        <v>2</v>
      </c>
      <c r="E36" s="19" t="s">
        <v>63</v>
      </c>
      <c r="F36" s="19"/>
      <c r="G36" s="19"/>
      <c r="H36" s="19"/>
      <c r="I36" s="19"/>
      <c r="J36" s="19"/>
      <c r="K36" s="19"/>
      <c r="M36" s="8"/>
      <c r="N36" s="8"/>
      <c r="O36" s="8"/>
      <c r="P36" s="8"/>
    </row>
    <row r="37" spans="1:16" ht="15.6">
      <c r="A37" s="8"/>
      <c r="B37" s="19">
        <v>10</v>
      </c>
      <c r="C37" s="31">
        <v>156</v>
      </c>
      <c r="D37" s="33"/>
      <c r="E37" s="19" t="s">
        <v>64</v>
      </c>
      <c r="F37" s="19"/>
      <c r="G37" s="19"/>
      <c r="H37" s="19"/>
      <c r="I37" s="19"/>
      <c r="J37" s="19"/>
      <c r="K37" s="19"/>
      <c r="M37" s="8"/>
      <c r="N37" s="8"/>
      <c r="O37" s="8"/>
      <c r="P37" s="8"/>
    </row>
    <row r="38" spans="1:16" ht="15.6">
      <c r="A38" s="8"/>
      <c r="B38" s="19">
        <v>11</v>
      </c>
      <c r="C38" s="31">
        <v>163.5</v>
      </c>
      <c r="D38" s="33">
        <v>3</v>
      </c>
      <c r="E38" s="19" t="s">
        <v>65</v>
      </c>
      <c r="F38" s="19"/>
      <c r="G38" s="19"/>
      <c r="H38" s="19"/>
      <c r="I38" s="19"/>
      <c r="J38" s="19"/>
      <c r="K38" s="19"/>
      <c r="M38" s="8"/>
      <c r="N38" s="8"/>
      <c r="O38" s="8"/>
      <c r="P38" s="8"/>
    </row>
    <row r="39" spans="1:16" ht="15.6">
      <c r="A39" s="33" t="s">
        <v>66</v>
      </c>
      <c r="B39" s="19"/>
      <c r="C39" s="31">
        <v>171</v>
      </c>
      <c r="D39" s="33">
        <v>4</v>
      </c>
      <c r="E39" s="19" t="s">
        <v>67</v>
      </c>
      <c r="F39" s="19"/>
      <c r="G39" s="19"/>
      <c r="H39" s="19"/>
      <c r="I39" s="19"/>
      <c r="J39" s="19"/>
      <c r="K39" s="19"/>
      <c r="M39" s="8"/>
      <c r="N39" s="8"/>
      <c r="O39" s="8"/>
      <c r="P39" s="8"/>
    </row>
  </sheetData>
  <mergeCells count="2">
    <mergeCell ref="A1:M1"/>
    <mergeCell ref="A2:B6"/>
  </mergeCells>
  <pageMargins left="0.7" right="0.7" top="0.75" bottom="0.75" header="0.3" footer="0.3"/>
  <drawing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L42"/>
  <sheetViews>
    <sheetView showGridLines="0" zoomScale="50" zoomScaleNormal="50" workbookViewId="0"/>
  </sheetViews>
  <sheetFormatPr defaultColWidth="9.140625" defaultRowHeight="14.1"/>
  <cols>
    <col min="1" max="1" width="59.85546875" style="153" customWidth="1"/>
    <col min="2" max="2" width="9.85546875" style="153" hidden="1" customWidth="1"/>
    <col min="3" max="4" width="19.5703125" style="153" bestFit="1" customWidth="1"/>
    <col min="5" max="5" width="21.85546875" style="153" bestFit="1" customWidth="1"/>
    <col min="6" max="7" width="23.5703125" style="207" bestFit="1" customWidth="1"/>
    <col min="8" max="9" width="23.5703125" style="207" customWidth="1"/>
    <col min="10" max="11" width="19.5703125" style="153" bestFit="1" customWidth="1"/>
    <col min="12" max="12" width="25" style="153" bestFit="1" customWidth="1"/>
    <col min="13" max="16384" width="9.140625" style="153"/>
  </cols>
  <sheetData>
    <row r="1" spans="1:12" ht="18">
      <c r="A1" s="243" t="s">
        <v>79</v>
      </c>
      <c r="B1" s="246"/>
      <c r="C1" s="96">
        <v>24</v>
      </c>
      <c r="D1" s="96">
        <v>53</v>
      </c>
      <c r="E1" s="104">
        <v>53</v>
      </c>
      <c r="F1" s="104">
        <v>53</v>
      </c>
      <c r="G1" s="104">
        <v>53</v>
      </c>
      <c r="H1" s="104">
        <v>53</v>
      </c>
      <c r="I1" s="96">
        <v>53</v>
      </c>
      <c r="J1" s="96">
        <v>56</v>
      </c>
      <c r="K1" s="96">
        <v>56</v>
      </c>
      <c r="L1" s="96">
        <v>58</v>
      </c>
    </row>
    <row r="2" spans="1:12" ht="18">
      <c r="A2" s="243" t="s">
        <v>80</v>
      </c>
      <c r="B2" s="246"/>
      <c r="C2" s="155"/>
      <c r="D2" s="155"/>
      <c r="E2" s="21"/>
      <c r="F2" s="21"/>
      <c r="G2" s="21"/>
      <c r="H2" s="21"/>
      <c r="I2" s="105" t="s">
        <v>109</v>
      </c>
      <c r="J2" s="155"/>
      <c r="K2" s="97" t="s">
        <v>256</v>
      </c>
      <c r="L2" s="154"/>
    </row>
    <row r="3" spans="1:12" ht="36">
      <c r="A3" s="243" t="s">
        <v>257</v>
      </c>
      <c r="B3" s="246"/>
      <c r="C3" s="97" t="s">
        <v>212</v>
      </c>
      <c r="D3" s="97" t="s">
        <v>3</v>
      </c>
      <c r="E3" s="112" t="s">
        <v>258</v>
      </c>
      <c r="F3" s="263" t="s">
        <v>259</v>
      </c>
      <c r="G3" s="263" t="s">
        <v>259</v>
      </c>
      <c r="H3" s="263" t="s">
        <v>260</v>
      </c>
      <c r="I3" s="97" t="s">
        <v>114</v>
      </c>
      <c r="J3" s="97" t="s">
        <v>109</v>
      </c>
      <c r="K3" s="97" t="s">
        <v>189</v>
      </c>
      <c r="L3" s="97" t="s">
        <v>109</v>
      </c>
    </row>
    <row r="4" spans="1:12" ht="18">
      <c r="A4" s="246"/>
      <c r="B4" s="246"/>
      <c r="C4" s="100" t="s">
        <v>192</v>
      </c>
      <c r="D4" s="100" t="s">
        <v>189</v>
      </c>
      <c r="E4" s="106" t="s">
        <v>237</v>
      </c>
      <c r="F4" s="106" t="s">
        <v>261</v>
      </c>
      <c r="G4" s="106" t="s">
        <v>172</v>
      </c>
      <c r="H4" s="106"/>
      <c r="I4" s="100" t="s">
        <v>189</v>
      </c>
      <c r="J4" s="97" t="s">
        <v>90</v>
      </c>
      <c r="K4" s="100" t="s">
        <v>174</v>
      </c>
      <c r="L4" s="100" t="s">
        <v>262</v>
      </c>
    </row>
    <row r="5" spans="1:12" ht="26.25" customHeight="1">
      <c r="A5" s="246"/>
      <c r="B5" s="246"/>
      <c r="C5" s="99"/>
      <c r="D5" s="99"/>
      <c r="E5" s="6"/>
      <c r="F5" s="6"/>
      <c r="G5" s="6"/>
      <c r="H5" s="6"/>
      <c r="I5" s="206" t="s">
        <v>263</v>
      </c>
      <c r="J5" s="156"/>
      <c r="K5" s="156"/>
      <c r="L5" s="154"/>
    </row>
    <row r="6" spans="1:12" ht="30" hidden="1" customHeight="1">
      <c r="A6" s="7" t="s">
        <v>21</v>
      </c>
      <c r="B6" s="156" t="s">
        <v>22</v>
      </c>
      <c r="C6" s="156" t="s">
        <v>28</v>
      </c>
      <c r="D6" s="156" t="s">
        <v>29</v>
      </c>
      <c r="E6" s="181" t="s">
        <v>264</v>
      </c>
      <c r="F6" s="181" t="s">
        <v>143</v>
      </c>
      <c r="G6" s="181" t="s">
        <v>144</v>
      </c>
      <c r="H6" s="181" t="s">
        <v>265</v>
      </c>
      <c r="I6" s="181" t="s">
        <v>266</v>
      </c>
      <c r="J6" s="156" t="s">
        <v>30</v>
      </c>
      <c r="K6" s="156" t="s">
        <v>31</v>
      </c>
      <c r="L6" s="156" t="s">
        <v>33</v>
      </c>
    </row>
    <row r="7" spans="1:12" ht="24.95">
      <c r="A7" s="113" t="s">
        <v>93</v>
      </c>
      <c r="B7" s="159"/>
      <c r="C7" s="159"/>
      <c r="D7" s="159"/>
      <c r="E7" s="159"/>
      <c r="F7" s="159"/>
      <c r="G7" s="159"/>
      <c r="H7" s="159"/>
      <c r="I7" s="159"/>
      <c r="J7" s="159"/>
      <c r="K7" s="159"/>
      <c r="L7" s="115"/>
    </row>
    <row r="8" spans="1:12" s="161" customFormat="1" ht="42.95">
      <c r="A8" s="120" t="s">
        <v>202</v>
      </c>
      <c r="B8" s="160"/>
      <c r="C8" s="122">
        <f>'Newark Graduate pg 1'!D9</f>
        <v>16736</v>
      </c>
      <c r="D8" s="122">
        <f>27516/2</f>
        <v>13758</v>
      </c>
      <c r="E8" s="122">
        <f>34776/2</f>
        <v>17388</v>
      </c>
      <c r="F8" s="175">
        <f t="shared" ref="F8:J9" si="0">F15*12</f>
        <v>12600</v>
      </c>
      <c r="G8" s="175">
        <f t="shared" si="0"/>
        <v>12600</v>
      </c>
      <c r="H8" s="175">
        <f t="shared" si="0"/>
        <v>12600</v>
      </c>
      <c r="I8" s="175">
        <f t="shared" si="0"/>
        <v>12600</v>
      </c>
      <c r="J8" s="122">
        <f t="shared" si="0"/>
        <v>11148</v>
      </c>
      <c r="K8" s="122">
        <f t="shared" ref="K8:L9" si="1">K15*12</f>
        <v>12876</v>
      </c>
      <c r="L8" s="122">
        <f t="shared" si="1"/>
        <v>12864</v>
      </c>
    </row>
    <row r="9" spans="1:12" s="161" customFormat="1" ht="42.95">
      <c r="A9" s="120" t="s">
        <v>203</v>
      </c>
      <c r="B9" s="160"/>
      <c r="C9" s="122">
        <f>'Newark Graduate pg 1'!D10</f>
        <v>25368</v>
      </c>
      <c r="D9" s="122">
        <f>46672/2</f>
        <v>23336</v>
      </c>
      <c r="E9" s="122">
        <f>E8</f>
        <v>17388</v>
      </c>
      <c r="F9" s="175">
        <f t="shared" si="0"/>
        <v>12600</v>
      </c>
      <c r="G9" s="175">
        <f t="shared" si="0"/>
        <v>12600</v>
      </c>
      <c r="H9" s="175">
        <f t="shared" si="0"/>
        <v>12600</v>
      </c>
      <c r="I9" s="175">
        <f t="shared" si="0"/>
        <v>12600</v>
      </c>
      <c r="J9" s="122">
        <f t="shared" si="0"/>
        <v>18540</v>
      </c>
      <c r="K9" s="122">
        <f t="shared" si="1"/>
        <v>19140</v>
      </c>
      <c r="L9" s="122">
        <f t="shared" si="1"/>
        <v>18924</v>
      </c>
    </row>
    <row r="10" spans="1:12" s="161" customFormat="1" ht="22.5">
      <c r="A10" s="184" t="s">
        <v>94</v>
      </c>
      <c r="B10" s="160"/>
      <c r="C10" s="126">
        <f>2316/2</f>
        <v>1158</v>
      </c>
      <c r="D10" s="126">
        <f>2281/2</f>
        <v>1140.5</v>
      </c>
      <c r="E10" s="126">
        <f>Table38912[[#This Row],[Column9]]</f>
        <v>1140.5</v>
      </c>
      <c r="F10" s="126"/>
      <c r="G10" s="126"/>
      <c r="H10" s="126"/>
      <c r="I10" s="126"/>
      <c r="J10" s="126">
        <f>2254/2</f>
        <v>1127</v>
      </c>
      <c r="K10" s="126">
        <f>Table38912[[#This Row],[Column10]]</f>
        <v>1127</v>
      </c>
      <c r="L10" s="126">
        <f>Table38912[[#This Row],[Column10]]</f>
        <v>1127</v>
      </c>
    </row>
    <row r="11" spans="1:12" s="161" customFormat="1" ht="22.5">
      <c r="A11" s="120" t="s">
        <v>95</v>
      </c>
      <c r="B11" s="160"/>
      <c r="C11" s="122">
        <f>1393/2</f>
        <v>696.5</v>
      </c>
      <c r="D11" s="122">
        <f>652/2</f>
        <v>326</v>
      </c>
      <c r="E11" s="122">
        <f>Table38912[[#This Row],[Column9]]</f>
        <v>326</v>
      </c>
      <c r="F11" s="175"/>
      <c r="G11" s="175"/>
      <c r="H11" s="175"/>
      <c r="I11" s="175"/>
      <c r="J11" s="122">
        <f>345/2</f>
        <v>172.5</v>
      </c>
      <c r="K11" s="122">
        <f>Table38912[[#This Row],[Column10]]</f>
        <v>172.5</v>
      </c>
      <c r="L11" s="122">
        <f>981/2</f>
        <v>490.5</v>
      </c>
    </row>
    <row r="12" spans="1:12" s="161" customFormat="1" ht="22.5">
      <c r="A12" s="120" t="s">
        <v>267</v>
      </c>
      <c r="B12" s="185"/>
      <c r="C12" s="177">
        <f>'New Brunswick Graduate pg 1.'!C13</f>
        <v>1119.5</v>
      </c>
      <c r="D12" s="177">
        <f>Table38912[[#This Row],[Column8]]</f>
        <v>1119.5</v>
      </c>
      <c r="E12" s="177">
        <f>Table38912[[#This Row],[Column8]]</f>
        <v>1119.5</v>
      </c>
      <c r="F12" s="177">
        <f>Table38912[[#This Row],[Column8]]</f>
        <v>1119.5</v>
      </c>
      <c r="G12" s="177">
        <f>Table38912[[#This Row],[Column8]]</f>
        <v>1119.5</v>
      </c>
      <c r="H12" s="177">
        <f>Table38912[[#This Row],[Column8]]</f>
        <v>1119.5</v>
      </c>
      <c r="I12" s="177">
        <f>Table38912[[#This Row],[Column8]]</f>
        <v>1119.5</v>
      </c>
      <c r="J12" s="177">
        <f>Table38912[[#This Row],[Column8]]</f>
        <v>1119.5</v>
      </c>
      <c r="K12" s="177">
        <f>Table38912[[#This Row],[Column8]]</f>
        <v>1119.5</v>
      </c>
      <c r="L12" s="177">
        <f>Table38912[[#This Row],[Column8]]</f>
        <v>1119.5</v>
      </c>
    </row>
    <row r="13" spans="1:12" s="161" customFormat="1" ht="22.5">
      <c r="A13" s="120" t="s">
        <v>97</v>
      </c>
      <c r="B13" s="163"/>
      <c r="C13" s="122">
        <f>D33</f>
        <v>221</v>
      </c>
      <c r="D13" s="122">
        <f>D33</f>
        <v>221</v>
      </c>
      <c r="E13" s="122">
        <f>Table38912[[#This Row],[Column9]]</f>
        <v>221</v>
      </c>
      <c r="F13" s="175">
        <f>D33</f>
        <v>221</v>
      </c>
      <c r="G13" s="175">
        <f>D33</f>
        <v>221</v>
      </c>
      <c r="H13" s="175">
        <f>D33</f>
        <v>221</v>
      </c>
      <c r="I13" s="175">
        <f>D33</f>
        <v>221</v>
      </c>
      <c r="J13" s="122">
        <f>D33</f>
        <v>221</v>
      </c>
      <c r="K13" s="122">
        <f>D33</f>
        <v>221</v>
      </c>
      <c r="L13" s="122">
        <f>D33</f>
        <v>221</v>
      </c>
    </row>
    <row r="14" spans="1:12" ht="24.95">
      <c r="A14" s="113" t="s">
        <v>98</v>
      </c>
      <c r="B14" s="164"/>
      <c r="C14" s="165"/>
      <c r="D14" s="165"/>
      <c r="E14" s="165"/>
      <c r="F14" s="159"/>
      <c r="G14" s="159"/>
      <c r="H14" s="159"/>
      <c r="I14" s="159"/>
      <c r="J14" s="165"/>
      <c r="K14" s="165"/>
      <c r="L14" s="208"/>
    </row>
    <row r="15" spans="1:12" s="161" customFormat="1" ht="22.5">
      <c r="A15" s="120" t="s">
        <v>50</v>
      </c>
      <c r="B15" s="163"/>
      <c r="C15" s="122">
        <f>'Newark Graduate pg 1'!D16</f>
        <v>1368</v>
      </c>
      <c r="D15" s="122">
        <v>1149</v>
      </c>
      <c r="E15" s="122">
        <v>1449</v>
      </c>
      <c r="F15" s="175">
        <v>1050</v>
      </c>
      <c r="G15" s="175">
        <f>Table38912[[#This Row],[Column92]]</f>
        <v>1050</v>
      </c>
      <c r="H15" s="175">
        <f>Table38912[[#This Row],[Column92]]</f>
        <v>1050</v>
      </c>
      <c r="I15" s="175">
        <f>Table38912[[#This Row],[Column92]]</f>
        <v>1050</v>
      </c>
      <c r="J15" s="122">
        <f>'New Brunswick Graduate pg 2'!C16</f>
        <v>929</v>
      </c>
      <c r="K15" s="122">
        <v>1073</v>
      </c>
      <c r="L15" s="122">
        <v>1072</v>
      </c>
    </row>
    <row r="16" spans="1:12" s="161" customFormat="1" ht="45">
      <c r="A16" s="120" t="s">
        <v>51</v>
      </c>
      <c r="B16" s="163"/>
      <c r="C16" s="122">
        <f>'Newark Graduate pg 1'!D17</f>
        <v>2073</v>
      </c>
      <c r="D16" s="122">
        <v>1944</v>
      </c>
      <c r="E16" s="122">
        <f>E15</f>
        <v>1449</v>
      </c>
      <c r="F16" s="175">
        <f>F15</f>
        <v>1050</v>
      </c>
      <c r="G16" s="175">
        <f>G15</f>
        <v>1050</v>
      </c>
      <c r="H16" s="175">
        <f>Table38912[[#This Row],[Column92]]</f>
        <v>1050</v>
      </c>
      <c r="I16" s="175">
        <f>Table38912[[#This Row],[Column92]]</f>
        <v>1050</v>
      </c>
      <c r="J16" s="122">
        <v>1545</v>
      </c>
      <c r="K16" s="122">
        <v>1595</v>
      </c>
      <c r="L16" s="122">
        <v>1577</v>
      </c>
    </row>
    <row r="17" spans="1:12" s="161" customFormat="1" ht="22.5">
      <c r="A17" s="120" t="s">
        <v>94</v>
      </c>
      <c r="B17" s="163"/>
      <c r="C17" s="122">
        <f>954/2</f>
        <v>477</v>
      </c>
      <c r="D17" s="122">
        <f>939/2</f>
        <v>469.5</v>
      </c>
      <c r="E17" s="122">
        <f>Table38912[[#This Row],[Column9]]</f>
        <v>469.5</v>
      </c>
      <c r="F17" s="175"/>
      <c r="G17" s="175"/>
      <c r="H17" s="175"/>
      <c r="I17" s="175"/>
      <c r="J17" s="122">
        <f>910/2</f>
        <v>455</v>
      </c>
      <c r="K17" s="122">
        <f>Table38912[[#This Row],[Column10]]</f>
        <v>455</v>
      </c>
      <c r="L17" s="122">
        <f>Table38912[[#This Row],[Column10]]</f>
        <v>455</v>
      </c>
    </row>
    <row r="18" spans="1:12" s="161" customFormat="1" ht="22.5">
      <c r="A18" s="120" t="s">
        <v>95</v>
      </c>
      <c r="B18" s="163"/>
      <c r="C18" s="122">
        <f>968/2</f>
        <v>484</v>
      </c>
      <c r="D18" s="122">
        <f>507/2</f>
        <v>253.5</v>
      </c>
      <c r="E18" s="122">
        <f>Table38912[[#This Row],[Column9]]</f>
        <v>253.5</v>
      </c>
      <c r="F18" s="175"/>
      <c r="G18" s="175"/>
      <c r="H18" s="175"/>
      <c r="I18" s="175"/>
      <c r="J18" s="122">
        <f>190/2</f>
        <v>95</v>
      </c>
      <c r="K18" s="122">
        <f>Table38912[[#This Row],[Column10]]</f>
        <v>95</v>
      </c>
      <c r="L18" s="122">
        <f>479/2</f>
        <v>239.5</v>
      </c>
    </row>
    <row r="19" spans="1:12" ht="22.5">
      <c r="A19" s="120" t="s">
        <v>267</v>
      </c>
      <c r="B19" s="189"/>
      <c r="C19" s="177">
        <f>'New Brunswick Graduate pg 1.'!C20</f>
        <v>329.5</v>
      </c>
      <c r="D19" s="177">
        <f>Table38912[[#This Row],[Column8]]</f>
        <v>329.5</v>
      </c>
      <c r="E19" s="177">
        <f>Table38912[[#This Row],[Column8]]</f>
        <v>329.5</v>
      </c>
      <c r="F19" s="177">
        <f>Table38912[[#This Row],[Column8]]</f>
        <v>329.5</v>
      </c>
      <c r="G19" s="177">
        <f>Table38912[[#This Row],[Column8]]</f>
        <v>329.5</v>
      </c>
      <c r="H19" s="177">
        <f>Table38912[[#This Row],[Column8]]</f>
        <v>329.5</v>
      </c>
      <c r="I19" s="177">
        <f>Table38912[[#This Row],[Column8]]</f>
        <v>329.5</v>
      </c>
      <c r="J19" s="177">
        <f>Table38912[[#This Row],[Column8]]</f>
        <v>329.5</v>
      </c>
      <c r="K19" s="177">
        <f>Table38912[[#This Row],[Column8]]</f>
        <v>329.5</v>
      </c>
      <c r="L19" s="177">
        <f>Table38912[[#This Row],[Column8]]</f>
        <v>329.5</v>
      </c>
    </row>
    <row r="20" spans="1:12" ht="22.5">
      <c r="A20" s="120" t="s">
        <v>218</v>
      </c>
      <c r="B20" s="167"/>
      <c r="C20" s="122">
        <v>20</v>
      </c>
      <c r="D20" s="122">
        <v>20</v>
      </c>
      <c r="E20" s="122">
        <v>20</v>
      </c>
      <c r="F20" s="175">
        <v>20</v>
      </c>
      <c r="G20" s="175">
        <v>20</v>
      </c>
      <c r="H20" s="175">
        <v>20</v>
      </c>
      <c r="I20" s="175">
        <v>20</v>
      </c>
      <c r="J20" s="122">
        <v>20</v>
      </c>
      <c r="K20" s="122">
        <v>20</v>
      </c>
      <c r="L20" s="122">
        <v>20</v>
      </c>
    </row>
    <row r="21" spans="1:12" ht="45">
      <c r="A21" s="120" t="s">
        <v>253</v>
      </c>
      <c r="B21" s="210"/>
      <c r="C21" s="151" t="s">
        <v>100</v>
      </c>
      <c r="D21" s="151" t="s">
        <v>100</v>
      </c>
      <c r="E21" s="151" t="s">
        <v>100</v>
      </c>
      <c r="F21" s="151" t="s">
        <v>100</v>
      </c>
      <c r="G21" s="151" t="s">
        <v>100</v>
      </c>
      <c r="H21" s="151" t="s">
        <v>100</v>
      </c>
      <c r="I21" s="151" t="s">
        <v>100</v>
      </c>
      <c r="J21" s="151" t="s">
        <v>100</v>
      </c>
      <c r="K21" s="151" t="s">
        <v>100</v>
      </c>
      <c r="L21" s="151" t="s">
        <v>100</v>
      </c>
    </row>
    <row r="22" spans="1:12" ht="24.95">
      <c r="A22" s="119" t="s">
        <v>58</v>
      </c>
      <c r="B22" s="91" t="s">
        <v>59</v>
      </c>
      <c r="C22" s="144" t="s">
        <v>59</v>
      </c>
      <c r="D22" s="145">
        <f t="shared" ref="D22:D31" si="2">D23-7.5</f>
        <v>138.5</v>
      </c>
      <c r="E22" s="211"/>
      <c r="F22" s="209"/>
      <c r="G22" s="209"/>
      <c r="H22" s="209"/>
      <c r="I22" s="209"/>
      <c r="J22" s="168"/>
      <c r="K22" s="168"/>
      <c r="L22" s="132"/>
    </row>
    <row r="23" spans="1:12" ht="18">
      <c r="A23" s="259"/>
      <c r="B23" s="92">
        <v>2</v>
      </c>
      <c r="C23" s="144">
        <v>2</v>
      </c>
      <c r="D23" s="145">
        <f t="shared" si="2"/>
        <v>146</v>
      </c>
      <c r="E23" s="211"/>
      <c r="F23" s="212"/>
      <c r="G23" s="212"/>
      <c r="H23" s="212"/>
      <c r="I23" s="212"/>
      <c r="J23" s="256"/>
      <c r="K23" s="256"/>
      <c r="L23" s="169"/>
    </row>
    <row r="24" spans="1:12" ht="18">
      <c r="A24" s="259"/>
      <c r="B24" s="91">
        <v>3</v>
      </c>
      <c r="C24" s="144">
        <v>3</v>
      </c>
      <c r="D24" s="145">
        <f t="shared" si="2"/>
        <v>153.5</v>
      </c>
      <c r="E24" s="211"/>
      <c r="F24" s="212"/>
      <c r="G24" s="212"/>
      <c r="H24" s="212"/>
      <c r="I24" s="212"/>
      <c r="J24" s="134"/>
      <c r="K24" s="134"/>
      <c r="L24" s="169"/>
    </row>
    <row r="25" spans="1:12" ht="18">
      <c r="A25" s="259"/>
      <c r="B25" s="92">
        <v>4</v>
      </c>
      <c r="C25" s="144">
        <v>4</v>
      </c>
      <c r="D25" s="145">
        <f t="shared" si="2"/>
        <v>161</v>
      </c>
      <c r="E25" s="211"/>
      <c r="F25" s="213"/>
      <c r="G25" s="213"/>
      <c r="H25" s="213"/>
      <c r="I25" s="213"/>
      <c r="J25" s="260"/>
      <c r="K25" s="260"/>
      <c r="L25" s="169"/>
    </row>
    <row r="26" spans="1:12" ht="18">
      <c r="A26" s="132"/>
      <c r="B26" s="91">
        <v>5</v>
      </c>
      <c r="C26" s="144">
        <v>5</v>
      </c>
      <c r="D26" s="145">
        <f t="shared" si="2"/>
        <v>168.5</v>
      </c>
      <c r="E26" s="211"/>
      <c r="F26" s="214"/>
      <c r="G26" s="214"/>
      <c r="H26" s="214"/>
      <c r="I26" s="214"/>
      <c r="J26" s="136"/>
      <c r="K26" s="137"/>
      <c r="L26" s="135"/>
    </row>
    <row r="27" spans="1:12" ht="18">
      <c r="A27" s="132"/>
      <c r="B27" s="92">
        <v>6</v>
      </c>
      <c r="C27" s="144">
        <v>6</v>
      </c>
      <c r="D27" s="145">
        <f t="shared" si="2"/>
        <v>176</v>
      </c>
      <c r="E27" s="211"/>
      <c r="F27" s="214"/>
      <c r="G27" s="214"/>
      <c r="H27" s="214"/>
      <c r="I27" s="214"/>
      <c r="J27" s="137"/>
      <c r="K27" s="137"/>
      <c r="L27" s="135"/>
    </row>
    <row r="28" spans="1:12" ht="20.100000000000001">
      <c r="A28" s="132"/>
      <c r="B28" s="91">
        <v>7</v>
      </c>
      <c r="C28" s="144">
        <v>7</v>
      </c>
      <c r="D28" s="145">
        <f t="shared" si="2"/>
        <v>183.5</v>
      </c>
      <c r="E28" s="211"/>
      <c r="F28" s="215"/>
      <c r="G28" s="215"/>
      <c r="H28" s="215"/>
      <c r="I28" s="215"/>
      <c r="J28" s="140"/>
      <c r="K28" s="137"/>
      <c r="L28" s="135"/>
    </row>
    <row r="29" spans="1:12" ht="20.100000000000001">
      <c r="A29" s="132"/>
      <c r="B29" s="92">
        <v>8</v>
      </c>
      <c r="C29" s="144">
        <v>8</v>
      </c>
      <c r="D29" s="145">
        <f t="shared" si="2"/>
        <v>191</v>
      </c>
      <c r="E29" s="211"/>
      <c r="F29" s="215"/>
      <c r="G29" s="215"/>
      <c r="H29" s="215"/>
      <c r="I29" s="215"/>
      <c r="J29" s="140"/>
      <c r="K29" s="140"/>
      <c r="L29" s="142"/>
    </row>
    <row r="30" spans="1:12" ht="20.100000000000001" hidden="1">
      <c r="A30" s="132"/>
      <c r="B30" s="91">
        <v>9</v>
      </c>
      <c r="C30" s="144">
        <v>9</v>
      </c>
      <c r="D30" s="145">
        <f t="shared" si="2"/>
        <v>198.5</v>
      </c>
      <c r="E30" s="211"/>
      <c r="F30" s="215"/>
      <c r="G30" s="215"/>
      <c r="H30" s="215"/>
      <c r="I30" s="215"/>
      <c r="J30" s="140"/>
      <c r="K30" s="140"/>
      <c r="L30" s="142"/>
    </row>
    <row r="31" spans="1:12" ht="20.100000000000001" hidden="1">
      <c r="A31" s="132"/>
      <c r="B31" s="92">
        <v>10</v>
      </c>
      <c r="C31" s="144">
        <v>10</v>
      </c>
      <c r="D31" s="145">
        <f t="shared" si="2"/>
        <v>206</v>
      </c>
      <c r="E31" s="211"/>
      <c r="F31" s="215"/>
      <c r="G31" s="215"/>
      <c r="H31" s="215"/>
      <c r="I31" s="215"/>
      <c r="J31" s="140"/>
      <c r="K31" s="140"/>
      <c r="L31" s="142"/>
    </row>
    <row r="32" spans="1:12" ht="20.100000000000001" hidden="1">
      <c r="A32" s="132"/>
      <c r="B32" s="91">
        <v>11</v>
      </c>
      <c r="C32" s="144">
        <v>11</v>
      </c>
      <c r="D32" s="145">
        <f>D33-7.5</f>
        <v>213.5</v>
      </c>
      <c r="E32" s="211"/>
      <c r="F32" s="215"/>
      <c r="G32" s="215"/>
      <c r="H32" s="215"/>
      <c r="I32" s="215"/>
      <c r="J32" s="140"/>
      <c r="K32" s="140"/>
      <c r="L32" s="142"/>
    </row>
    <row r="33" spans="1:12" ht="24.95">
      <c r="A33" s="133"/>
      <c r="B33" s="92"/>
      <c r="C33" s="144" t="s">
        <v>66</v>
      </c>
      <c r="D33" s="145">
        <f>'New Brunswick Undergraduate'!C32</f>
        <v>221</v>
      </c>
      <c r="E33" s="211"/>
      <c r="F33" s="215"/>
      <c r="G33" s="215"/>
      <c r="H33" s="215"/>
      <c r="I33" s="215"/>
      <c r="J33" s="140"/>
      <c r="K33" s="140"/>
      <c r="L33" s="142"/>
    </row>
    <row r="36" spans="1:12" ht="15.6">
      <c r="A36" s="281" t="s">
        <v>149</v>
      </c>
      <c r="B36" s="282"/>
      <c r="C36" s="282"/>
      <c r="D36" s="282"/>
      <c r="E36" s="282"/>
      <c r="F36" s="285"/>
    </row>
    <row r="37" spans="1:12" ht="15.6">
      <c r="A37" s="279" t="s">
        <v>103</v>
      </c>
      <c r="B37" s="280"/>
      <c r="C37" s="280"/>
      <c r="D37" s="280"/>
      <c r="E37" s="280"/>
      <c r="F37" s="283"/>
    </row>
    <row r="38" spans="1:12" ht="15.6">
      <c r="A38" s="279" t="s">
        <v>153</v>
      </c>
      <c r="B38" s="280"/>
      <c r="C38" s="280"/>
      <c r="D38" s="280"/>
      <c r="E38" s="280"/>
      <c r="F38" s="283"/>
    </row>
    <row r="39" spans="1:12" ht="15.6">
      <c r="A39" s="279" t="s">
        <v>105</v>
      </c>
      <c r="B39" s="280"/>
      <c r="C39" s="280"/>
      <c r="D39" s="280"/>
      <c r="E39" s="280"/>
      <c r="F39" s="283"/>
    </row>
    <row r="40" spans="1:12" ht="15.6">
      <c r="A40" s="279" t="s">
        <v>106</v>
      </c>
      <c r="B40" s="280"/>
      <c r="C40" s="280"/>
      <c r="D40" s="280"/>
      <c r="E40" s="280"/>
      <c r="F40" s="283"/>
    </row>
    <row r="41" spans="1:12" ht="15.6">
      <c r="A41" s="279" t="s">
        <v>254</v>
      </c>
      <c r="B41" s="280"/>
      <c r="C41" s="280"/>
      <c r="D41" s="280"/>
      <c r="E41" s="280"/>
      <c r="F41" s="283"/>
    </row>
    <row r="42" spans="1:12" ht="15.6">
      <c r="A42" s="286" t="s">
        <v>255</v>
      </c>
      <c r="B42" s="287"/>
      <c r="C42" s="287"/>
      <c r="D42" s="287"/>
      <c r="E42" s="287"/>
      <c r="F42" s="288"/>
    </row>
  </sheetData>
  <mergeCells count="7">
    <mergeCell ref="A39:F39"/>
    <mergeCell ref="A40:F40"/>
    <mergeCell ref="A41:F41"/>
    <mergeCell ref="A42:F42"/>
    <mergeCell ref="A36:F36"/>
    <mergeCell ref="A37:F37"/>
    <mergeCell ref="A38:F38"/>
  </mergeCells>
  <phoneticPr fontId="44" type="noConversion"/>
  <pageMargins left="0.7" right="0.7" top="0.75" bottom="0.75" header="0.3" footer="0.3"/>
  <pageSetup scale="40" fitToHeight="0" orientation="landscape" horizontalDpi="300" verticalDpi="300"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25"/>
  <sheetViews>
    <sheetView showGridLines="0" zoomScale="60" zoomScaleNormal="60" workbookViewId="0"/>
  </sheetViews>
  <sheetFormatPr defaultColWidth="9.140625" defaultRowHeight="14.45"/>
  <cols>
    <col min="1" max="1" width="73" style="1" customWidth="1"/>
    <col min="2" max="2" width="9.85546875" style="1" bestFit="1" customWidth="1"/>
    <col min="3" max="3" width="17" style="103" bestFit="1" customWidth="1"/>
    <col min="4" max="4" width="22.28515625" style="1" bestFit="1" customWidth="1"/>
    <col min="5" max="16384" width="9.140625" style="1"/>
  </cols>
  <sheetData>
    <row r="1" spans="1:4" ht="18">
      <c r="A1" s="243" t="s">
        <v>79</v>
      </c>
      <c r="B1" s="242"/>
      <c r="C1" s="95">
        <v>52</v>
      </c>
      <c r="D1" s="95"/>
    </row>
    <row r="2" spans="1:4" ht="18">
      <c r="A2" s="243" t="s">
        <v>80</v>
      </c>
      <c r="B2" s="242"/>
      <c r="C2" s="97" t="s">
        <v>247</v>
      </c>
      <c r="D2" s="101" t="s">
        <v>268</v>
      </c>
    </row>
    <row r="3" spans="1:4" ht="18">
      <c r="A3" s="243" t="s">
        <v>269</v>
      </c>
      <c r="B3" s="242"/>
      <c r="C3" s="97" t="s">
        <v>270</v>
      </c>
      <c r="D3" s="101" t="s">
        <v>271</v>
      </c>
    </row>
    <row r="4" spans="1:4" ht="18">
      <c r="A4" s="242"/>
      <c r="B4" s="242"/>
      <c r="C4" s="100" t="s">
        <v>189</v>
      </c>
      <c r="D4" s="102" t="s">
        <v>272</v>
      </c>
    </row>
    <row r="5" spans="1:4">
      <c r="A5" s="242"/>
      <c r="B5" s="242"/>
      <c r="C5" s="10"/>
      <c r="D5" s="20"/>
    </row>
    <row r="6" spans="1:4" ht="18" hidden="1">
      <c r="A6" s="7" t="s">
        <v>21</v>
      </c>
      <c r="B6" s="5" t="s">
        <v>22</v>
      </c>
      <c r="C6" s="10" t="s">
        <v>23</v>
      </c>
      <c r="D6" s="20" t="s">
        <v>24</v>
      </c>
    </row>
    <row r="7" spans="1:4" ht="27.75" customHeight="1">
      <c r="A7" s="119" t="s">
        <v>273</v>
      </c>
      <c r="B7" s="114"/>
      <c r="C7" s="216"/>
      <c r="D7" s="217"/>
    </row>
    <row r="8" spans="1:4" s="13" customFormat="1" ht="23.45">
      <c r="A8" s="120" t="s">
        <v>274</v>
      </c>
      <c r="B8" s="121"/>
      <c r="C8" s="122">
        <v>672</v>
      </c>
      <c r="D8" s="122">
        <v>708</v>
      </c>
    </row>
    <row r="9" spans="1:4" s="111" customFormat="1" ht="24.95">
      <c r="A9" s="222"/>
      <c r="B9" s="121"/>
      <c r="C9" s="126"/>
      <c r="D9" s="126"/>
    </row>
    <row r="10" spans="1:4" s="20" customFormat="1" ht="23.45">
      <c r="A10" s="218" t="s">
        <v>275</v>
      </c>
      <c r="B10" s="219"/>
      <c r="C10" s="220"/>
      <c r="D10" s="220"/>
    </row>
    <row r="11" spans="1:4" s="13" customFormat="1" ht="22.5">
      <c r="A11" s="120" t="s">
        <v>276</v>
      </c>
      <c r="B11" s="185"/>
      <c r="C11" s="122">
        <f>C8*3</f>
        <v>2016</v>
      </c>
      <c r="D11" s="122">
        <f>D8*3</f>
        <v>2124</v>
      </c>
    </row>
    <row r="12" spans="1:4" ht="23.1">
      <c r="A12" s="120"/>
      <c r="B12" s="223"/>
      <c r="C12" s="122"/>
      <c r="D12" s="122"/>
    </row>
    <row r="13" spans="1:4" ht="22.5">
      <c r="A13" s="224" t="s">
        <v>277</v>
      </c>
      <c r="B13" s="143"/>
      <c r="C13" s="126">
        <f>C8*6</f>
        <v>4032</v>
      </c>
      <c r="D13" s="126">
        <f>D8*6</f>
        <v>4248</v>
      </c>
    </row>
    <row r="14" spans="1:4" s="13" customFormat="1" ht="23.1">
      <c r="A14" s="120"/>
      <c r="B14" s="129"/>
      <c r="C14" s="122"/>
      <c r="D14" s="122"/>
    </row>
    <row r="15" spans="1:4" s="13" customFormat="1" ht="23.1">
      <c r="A15" s="120" t="s">
        <v>278</v>
      </c>
      <c r="B15" s="129"/>
      <c r="C15" s="126">
        <f>C8*9</f>
        <v>6048</v>
      </c>
      <c r="D15" s="126">
        <f>D8*9</f>
        <v>6372</v>
      </c>
    </row>
    <row r="16" spans="1:4" s="13" customFormat="1" ht="15.6">
      <c r="A16" s="132"/>
      <c r="B16" s="132"/>
      <c r="C16" s="225"/>
      <c r="D16" s="226"/>
    </row>
    <row r="17" spans="1:6" s="13" customFormat="1" ht="23.1">
      <c r="A17" s="120" t="s">
        <v>279</v>
      </c>
      <c r="B17" s="129"/>
      <c r="C17" s="126">
        <f>C8*12</f>
        <v>8064</v>
      </c>
      <c r="D17" s="126">
        <f>D8*12</f>
        <v>8496</v>
      </c>
    </row>
    <row r="18" spans="1:6" ht="24.95">
      <c r="A18" s="149"/>
      <c r="B18" s="221"/>
      <c r="C18" s="221"/>
      <c r="D18" s="221"/>
    </row>
    <row r="19" spans="1:6" ht="18">
      <c r="A19" s="254"/>
      <c r="B19" s="147"/>
      <c r="C19" s="148"/>
      <c r="D19" s="262"/>
    </row>
    <row r="22" spans="1:6" ht="15.6">
      <c r="A22" s="230" t="s">
        <v>149</v>
      </c>
      <c r="B22" s="231"/>
      <c r="C22" s="231"/>
      <c r="D22" s="231"/>
      <c r="E22" s="231"/>
      <c r="F22" s="237"/>
    </row>
    <row r="23" spans="1:6" ht="15.6">
      <c r="A23" s="232" t="s">
        <v>280</v>
      </c>
      <c r="B23" s="233"/>
      <c r="C23" s="233"/>
      <c r="D23" s="233"/>
      <c r="E23" s="233"/>
      <c r="F23" s="234"/>
    </row>
    <row r="24" spans="1:6" ht="15.6">
      <c r="A24" s="232" t="s">
        <v>281</v>
      </c>
      <c r="B24" s="233"/>
      <c r="C24" s="233"/>
      <c r="D24" s="233"/>
      <c r="E24" s="233"/>
      <c r="F24" s="238"/>
    </row>
    <row r="25" spans="1:6" ht="15.6">
      <c r="A25" s="235" t="s">
        <v>282</v>
      </c>
      <c r="B25" s="236"/>
      <c r="C25" s="236"/>
      <c r="D25" s="236"/>
      <c r="E25" s="236"/>
      <c r="F25" s="239"/>
    </row>
  </sheetData>
  <pageMargins left="0.7" right="0.7" top="0.75" bottom="0.75" header="0.3" footer="0.3"/>
  <pageSetup scale="62" orientation="portrait" horizontalDpi="300" verticalDpi="300"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L25"/>
  <sheetViews>
    <sheetView showGridLines="0" zoomScale="60" zoomScaleNormal="60" workbookViewId="0"/>
  </sheetViews>
  <sheetFormatPr defaultColWidth="9.140625" defaultRowHeight="14.1"/>
  <cols>
    <col min="1" max="1" width="53.5703125" style="153" bestFit="1" customWidth="1"/>
    <col min="2" max="2" width="9.85546875" style="153" bestFit="1" customWidth="1"/>
    <col min="3" max="3" width="18.28515625" style="153" customWidth="1"/>
    <col min="4" max="4" width="18.42578125" style="153" customWidth="1"/>
    <col min="5" max="5" width="21.85546875" style="153" customWidth="1"/>
    <col min="6" max="6" width="25.5703125" style="153" bestFit="1" customWidth="1"/>
    <col min="7" max="7" width="20.5703125" style="153" bestFit="1" customWidth="1"/>
    <col min="8" max="9" width="19" style="153" bestFit="1" customWidth="1"/>
    <col min="10" max="11" width="18.7109375" style="153" customWidth="1"/>
    <col min="12" max="12" width="25.42578125" style="153" customWidth="1"/>
    <col min="13" max="16384" width="9.140625" style="153"/>
  </cols>
  <sheetData>
    <row r="1" spans="1:12" ht="18">
      <c r="A1" s="253" t="s">
        <v>79</v>
      </c>
      <c r="B1" s="246"/>
      <c r="C1" s="95">
        <v>8</v>
      </c>
      <c r="D1" s="95">
        <v>15</v>
      </c>
      <c r="E1" s="96">
        <v>16</v>
      </c>
      <c r="F1" s="96">
        <v>17</v>
      </c>
      <c r="G1" s="96">
        <v>19</v>
      </c>
      <c r="H1" s="96">
        <v>20</v>
      </c>
      <c r="I1" s="96">
        <v>27</v>
      </c>
      <c r="J1" s="96">
        <v>53</v>
      </c>
      <c r="K1" s="96">
        <v>53</v>
      </c>
      <c r="L1" s="96">
        <v>56</v>
      </c>
    </row>
    <row r="2" spans="1:12" ht="18">
      <c r="A2" s="253" t="s">
        <v>80</v>
      </c>
      <c r="B2" s="246"/>
      <c r="C2" s="97" t="s">
        <v>113</v>
      </c>
      <c r="D2" s="105" t="s">
        <v>109</v>
      </c>
      <c r="E2" s="97" t="s">
        <v>109</v>
      </c>
      <c r="F2" s="97" t="s">
        <v>109</v>
      </c>
      <c r="G2" s="105" t="s">
        <v>109</v>
      </c>
      <c r="H2" s="105" t="s">
        <v>214</v>
      </c>
      <c r="I2" s="105" t="s">
        <v>283</v>
      </c>
      <c r="J2" s="105" t="s">
        <v>109</v>
      </c>
      <c r="K2" s="105" t="s">
        <v>109</v>
      </c>
      <c r="L2" s="97" t="s">
        <v>109</v>
      </c>
    </row>
    <row r="3" spans="1:12" ht="18">
      <c r="A3" s="253" t="s">
        <v>284</v>
      </c>
      <c r="B3" s="246"/>
      <c r="C3" s="97" t="s">
        <v>114</v>
      </c>
      <c r="D3" s="97" t="s">
        <v>114</v>
      </c>
      <c r="E3" s="97" t="s">
        <v>114</v>
      </c>
      <c r="F3" s="97" t="s">
        <v>114</v>
      </c>
      <c r="G3" s="97" t="s">
        <v>114</v>
      </c>
      <c r="H3" s="97" t="s">
        <v>190</v>
      </c>
      <c r="I3" s="97" t="s">
        <v>285</v>
      </c>
      <c r="J3" s="97" t="s">
        <v>114</v>
      </c>
      <c r="K3" s="97" t="s">
        <v>114</v>
      </c>
      <c r="L3" s="97" t="s">
        <v>114</v>
      </c>
    </row>
    <row r="4" spans="1:12" ht="54">
      <c r="A4" s="246"/>
      <c r="B4" s="246"/>
      <c r="C4" s="100" t="s">
        <v>286</v>
      </c>
      <c r="D4" s="100" t="s">
        <v>124</v>
      </c>
      <c r="E4" s="100" t="s">
        <v>287</v>
      </c>
      <c r="F4" s="100" t="s">
        <v>127</v>
      </c>
      <c r="G4" s="100" t="s">
        <v>130</v>
      </c>
      <c r="H4" s="100" t="s">
        <v>288</v>
      </c>
      <c r="I4" s="100" t="s">
        <v>199</v>
      </c>
      <c r="J4" s="100" t="s">
        <v>189</v>
      </c>
      <c r="K4" s="100" t="s">
        <v>189</v>
      </c>
      <c r="L4" s="100" t="s">
        <v>247</v>
      </c>
    </row>
    <row r="5" spans="1:12" ht="15.6">
      <c r="A5" s="246"/>
      <c r="B5" s="246"/>
      <c r="C5" s="156"/>
      <c r="D5" s="156"/>
      <c r="E5" s="156"/>
      <c r="F5" s="156"/>
      <c r="G5" s="156"/>
      <c r="H5" s="99"/>
      <c r="I5" s="99"/>
      <c r="J5" s="179" t="s">
        <v>289</v>
      </c>
      <c r="K5" s="179" t="s">
        <v>263</v>
      </c>
      <c r="L5" s="156"/>
    </row>
    <row r="6" spans="1:12" ht="18" hidden="1">
      <c r="A6" s="7" t="s">
        <v>21</v>
      </c>
      <c r="B6" s="156" t="s">
        <v>22</v>
      </c>
      <c r="C6" s="156" t="s">
        <v>23</v>
      </c>
      <c r="D6" s="156" t="s">
        <v>24</v>
      </c>
      <c r="E6" s="156" t="s">
        <v>25</v>
      </c>
      <c r="F6" s="156" t="s">
        <v>26</v>
      </c>
      <c r="G6" s="156" t="s">
        <v>290</v>
      </c>
      <c r="H6" s="156" t="s">
        <v>28</v>
      </c>
      <c r="I6" s="156" t="s">
        <v>29</v>
      </c>
      <c r="J6" s="156" t="s">
        <v>30</v>
      </c>
      <c r="K6" s="156" t="s">
        <v>291</v>
      </c>
      <c r="L6" s="156" t="s">
        <v>31</v>
      </c>
    </row>
    <row r="7" spans="1:12" ht="24.95">
      <c r="A7" s="119" t="s">
        <v>292</v>
      </c>
      <c r="B7" s="159"/>
      <c r="C7" s="159"/>
      <c r="D7" s="159"/>
      <c r="E7" s="159"/>
      <c r="F7" s="159"/>
      <c r="G7" s="159"/>
      <c r="H7" s="159"/>
      <c r="I7" s="159"/>
      <c r="J7" s="159"/>
      <c r="K7" s="159"/>
      <c r="L7" s="159"/>
    </row>
    <row r="8" spans="1:12" s="161" customFormat="1" ht="22.5">
      <c r="A8" s="120" t="s">
        <v>274</v>
      </c>
      <c r="B8" s="160"/>
      <c r="C8" s="122">
        <v>1181</v>
      </c>
      <c r="D8" s="122">
        <v>1132</v>
      </c>
      <c r="E8" s="122">
        <f>Table38911[[#This Row],[Column4]]</f>
        <v>1132</v>
      </c>
      <c r="F8" s="122">
        <f>Table38911[[#This Row],[Column5]]</f>
        <v>1132</v>
      </c>
      <c r="G8" s="122">
        <f>Table38911[[#This Row],[Column5]]</f>
        <v>1132</v>
      </c>
      <c r="H8" s="122">
        <v>1239</v>
      </c>
      <c r="I8" s="122">
        <f>Table38911[[#This Row],[Column5]]</f>
        <v>1132</v>
      </c>
      <c r="J8" s="122">
        <v>1295</v>
      </c>
      <c r="K8" s="122">
        <v>1050</v>
      </c>
      <c r="L8" s="122">
        <f>Table38911[[#This Row],[Column5]]</f>
        <v>1132</v>
      </c>
    </row>
    <row r="9" spans="1:12" s="161" customFormat="1" ht="22.5">
      <c r="A9" s="184"/>
      <c r="B9" s="160"/>
      <c r="C9" s="126"/>
      <c r="D9" s="126"/>
      <c r="E9" s="126"/>
      <c r="F9" s="126"/>
      <c r="G9" s="126"/>
      <c r="H9" s="126"/>
      <c r="I9" s="122"/>
      <c r="J9" s="122"/>
      <c r="K9" s="122"/>
      <c r="L9" s="122"/>
    </row>
    <row r="10" spans="1:12" ht="24.95">
      <c r="A10" s="119" t="s">
        <v>293</v>
      </c>
      <c r="B10" s="164"/>
      <c r="C10" s="165"/>
      <c r="D10" s="165"/>
      <c r="E10" s="165"/>
      <c r="F10" s="165"/>
      <c r="G10" s="165"/>
      <c r="H10" s="165"/>
      <c r="I10" s="165"/>
      <c r="J10" s="165"/>
      <c r="K10" s="165"/>
      <c r="L10" s="165"/>
    </row>
    <row r="11" spans="1:12" s="162" customFormat="1" ht="22.5">
      <c r="A11" s="120" t="s">
        <v>276</v>
      </c>
      <c r="B11" s="185"/>
      <c r="C11" s="126">
        <f t="shared" ref="C11:L11" si="0">C8*3</f>
        <v>3543</v>
      </c>
      <c r="D11" s="126">
        <f t="shared" si="0"/>
        <v>3396</v>
      </c>
      <c r="E11" s="126">
        <f t="shared" si="0"/>
        <v>3396</v>
      </c>
      <c r="F11" s="126">
        <f t="shared" si="0"/>
        <v>3396</v>
      </c>
      <c r="G11" s="126">
        <f t="shared" si="0"/>
        <v>3396</v>
      </c>
      <c r="H11" s="126">
        <f t="shared" si="0"/>
        <v>3717</v>
      </c>
      <c r="I11" s="126">
        <f t="shared" si="0"/>
        <v>3396</v>
      </c>
      <c r="J11" s="126">
        <f t="shared" si="0"/>
        <v>3885</v>
      </c>
      <c r="K11" s="126">
        <f t="shared" ref="K11" si="1">K8*3</f>
        <v>3150</v>
      </c>
      <c r="L11" s="126">
        <f t="shared" si="0"/>
        <v>3396</v>
      </c>
    </row>
    <row r="12" spans="1:12" ht="22.5">
      <c r="A12" s="120"/>
      <c r="B12" s="227"/>
      <c r="C12" s="122"/>
      <c r="D12" s="122"/>
      <c r="E12" s="122"/>
      <c r="F12" s="122"/>
      <c r="G12" s="122"/>
      <c r="H12" s="122"/>
      <c r="I12" s="122"/>
      <c r="J12" s="122"/>
      <c r="K12" s="122"/>
      <c r="L12" s="122"/>
    </row>
    <row r="13" spans="1:12" ht="22.5">
      <c r="A13" s="120" t="s">
        <v>277</v>
      </c>
      <c r="B13" s="168"/>
      <c r="C13" s="126">
        <f t="shared" ref="C13:L13" si="2">C8*6</f>
        <v>7086</v>
      </c>
      <c r="D13" s="126">
        <f t="shared" si="2"/>
        <v>6792</v>
      </c>
      <c r="E13" s="126">
        <f t="shared" si="2"/>
        <v>6792</v>
      </c>
      <c r="F13" s="126">
        <f t="shared" si="2"/>
        <v>6792</v>
      </c>
      <c r="G13" s="126">
        <f t="shared" si="2"/>
        <v>6792</v>
      </c>
      <c r="H13" s="126">
        <f t="shared" si="2"/>
        <v>7434</v>
      </c>
      <c r="I13" s="126">
        <f t="shared" si="2"/>
        <v>6792</v>
      </c>
      <c r="J13" s="126">
        <f t="shared" si="2"/>
        <v>7770</v>
      </c>
      <c r="K13" s="126">
        <f t="shared" ref="K13" si="3">K8*6</f>
        <v>6300</v>
      </c>
      <c r="L13" s="126">
        <f t="shared" si="2"/>
        <v>6792</v>
      </c>
    </row>
    <row r="14" spans="1:12" s="161" customFormat="1" ht="22.5">
      <c r="A14" s="120"/>
      <c r="B14" s="163"/>
      <c r="C14" s="122"/>
      <c r="D14" s="122"/>
      <c r="E14" s="122"/>
      <c r="F14" s="122"/>
      <c r="G14" s="122"/>
      <c r="H14" s="122"/>
      <c r="I14" s="122"/>
      <c r="J14" s="122"/>
      <c r="K14" s="122"/>
      <c r="L14" s="122"/>
    </row>
    <row r="15" spans="1:12" s="161" customFormat="1" ht="22.5">
      <c r="A15" s="120" t="s">
        <v>278</v>
      </c>
      <c r="B15" s="163"/>
      <c r="C15" s="126">
        <f t="shared" ref="C15:L15" si="4">C8*9</f>
        <v>10629</v>
      </c>
      <c r="D15" s="126">
        <f t="shared" si="4"/>
        <v>10188</v>
      </c>
      <c r="E15" s="126">
        <f t="shared" si="4"/>
        <v>10188</v>
      </c>
      <c r="F15" s="126">
        <f t="shared" si="4"/>
        <v>10188</v>
      </c>
      <c r="G15" s="126">
        <f t="shared" si="4"/>
        <v>10188</v>
      </c>
      <c r="H15" s="126">
        <f t="shared" si="4"/>
        <v>11151</v>
      </c>
      <c r="I15" s="126">
        <f t="shared" si="4"/>
        <v>10188</v>
      </c>
      <c r="J15" s="126">
        <f t="shared" si="4"/>
        <v>11655</v>
      </c>
      <c r="K15" s="126">
        <f t="shared" ref="K15" si="5">K8*9</f>
        <v>9450</v>
      </c>
      <c r="L15" s="126">
        <f t="shared" si="4"/>
        <v>10188</v>
      </c>
    </row>
    <row r="16" spans="1:12" s="161" customFormat="1" ht="22.5">
      <c r="A16" s="120"/>
      <c r="B16" s="189"/>
      <c r="C16" s="152"/>
      <c r="D16" s="152"/>
      <c r="E16" s="163"/>
      <c r="F16" s="152"/>
      <c r="G16" s="152"/>
      <c r="H16" s="152"/>
      <c r="I16" s="152"/>
      <c r="J16" s="152"/>
      <c r="K16" s="152"/>
      <c r="L16" s="163"/>
    </row>
    <row r="17" spans="1:12" ht="22.5">
      <c r="A17" s="120" t="s">
        <v>279</v>
      </c>
      <c r="B17" s="163"/>
      <c r="C17" s="126">
        <f>C8*12</f>
        <v>14172</v>
      </c>
      <c r="D17" s="126">
        <f t="shared" ref="D17:L17" si="6">D8*12</f>
        <v>13584</v>
      </c>
      <c r="E17" s="126">
        <f t="shared" si="6"/>
        <v>13584</v>
      </c>
      <c r="F17" s="126">
        <f t="shared" si="6"/>
        <v>13584</v>
      </c>
      <c r="G17" s="126">
        <f t="shared" si="6"/>
        <v>13584</v>
      </c>
      <c r="H17" s="126">
        <f t="shared" si="6"/>
        <v>14868</v>
      </c>
      <c r="I17" s="126">
        <f t="shared" si="6"/>
        <v>13584</v>
      </c>
      <c r="J17" s="126">
        <f t="shared" si="6"/>
        <v>15540</v>
      </c>
      <c r="K17" s="126">
        <f t="shared" ref="K17" si="7">K8*12</f>
        <v>12600</v>
      </c>
      <c r="L17" s="126">
        <f t="shared" si="6"/>
        <v>13584</v>
      </c>
    </row>
    <row r="18" spans="1:12" ht="24.95">
      <c r="A18" s="149"/>
      <c r="B18" s="168"/>
      <c r="C18" s="168"/>
      <c r="D18" s="168"/>
      <c r="E18" s="168"/>
      <c r="F18" s="168"/>
      <c r="G18" s="168"/>
      <c r="H18" s="168"/>
      <c r="I18" s="168"/>
      <c r="J18" s="168"/>
      <c r="K18" s="168"/>
      <c r="L18" s="168"/>
    </row>
    <row r="19" spans="1:12" ht="18">
      <c r="A19" s="259"/>
      <c r="B19" s="147"/>
      <c r="C19" s="148"/>
      <c r="D19" s="256"/>
      <c r="E19" s="256"/>
      <c r="F19" s="256"/>
      <c r="G19" s="256"/>
      <c r="H19" s="256"/>
      <c r="I19" s="256"/>
      <c r="J19" s="256"/>
      <c r="K19" s="256"/>
      <c r="L19" s="256"/>
    </row>
    <row r="22" spans="1:12" ht="15.6">
      <c r="A22" s="230" t="s">
        <v>149</v>
      </c>
      <c r="B22" s="231"/>
      <c r="C22" s="231"/>
      <c r="D22" s="231"/>
      <c r="E22" s="231"/>
      <c r="F22" s="237"/>
    </row>
    <row r="23" spans="1:12" ht="15.6">
      <c r="A23" s="232" t="s">
        <v>280</v>
      </c>
      <c r="B23" s="233"/>
      <c r="C23" s="233"/>
      <c r="D23" s="233"/>
      <c r="E23" s="233"/>
      <c r="F23" s="234"/>
    </row>
    <row r="24" spans="1:12" ht="15.6">
      <c r="A24" s="232" t="s">
        <v>281</v>
      </c>
      <c r="B24" s="233"/>
      <c r="C24" s="233"/>
      <c r="D24" s="233"/>
      <c r="E24" s="233"/>
      <c r="F24" s="238"/>
    </row>
    <row r="25" spans="1:12" ht="15.6">
      <c r="A25" s="235" t="s">
        <v>282</v>
      </c>
      <c r="B25" s="236"/>
      <c r="C25" s="236"/>
      <c r="D25" s="236"/>
      <c r="E25" s="236"/>
      <c r="F25" s="239"/>
    </row>
  </sheetData>
  <phoneticPr fontId="44" type="noConversion"/>
  <pageMargins left="0.7" right="0.7" top="0.75" bottom="0.75" header="0.3" footer="0.3"/>
  <pageSetup scale="33"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39"/>
  <sheetViews>
    <sheetView zoomScale="60" zoomScaleNormal="60" workbookViewId="0">
      <selection activeCell="H47" sqref="H47"/>
    </sheetView>
  </sheetViews>
  <sheetFormatPr defaultColWidth="9.140625" defaultRowHeight="14.45"/>
  <cols>
    <col min="1" max="1" width="53.5703125" style="1" bestFit="1" customWidth="1"/>
    <col min="2" max="2" width="9.85546875" style="1" bestFit="1" customWidth="1"/>
    <col min="3" max="3" width="18.28515625" style="1" bestFit="1" customWidth="1"/>
    <col min="4" max="4" width="15.5703125" style="1" bestFit="1" customWidth="1"/>
    <col min="5" max="5" width="23" style="1" bestFit="1" customWidth="1"/>
    <col min="6" max="6" width="25.5703125" style="1" bestFit="1" customWidth="1"/>
    <col min="7" max="7" width="20.5703125" style="1" bestFit="1" customWidth="1"/>
    <col min="8" max="8" width="17.42578125" style="1" bestFit="1" customWidth="1"/>
    <col min="9" max="9" width="17.28515625" style="1" bestFit="1" customWidth="1"/>
    <col min="10" max="10" width="15.5703125" style="1" bestFit="1" customWidth="1"/>
    <col min="11" max="11" width="25.42578125" style="1" customWidth="1"/>
    <col min="12" max="12" width="17.85546875" style="1" bestFit="1" customWidth="1"/>
    <col min="13" max="13" width="10.85546875" style="1" customWidth="1"/>
    <col min="14" max="15" width="9.140625" style="1"/>
    <col min="16" max="16" width="72.28515625" style="1" customWidth="1"/>
    <col min="17" max="16384" width="9.140625" style="1"/>
  </cols>
  <sheetData>
    <row r="1" spans="1:16" ht="18">
      <c r="A1" s="273"/>
      <c r="B1" s="274"/>
      <c r="C1" s="274"/>
      <c r="D1" s="274"/>
      <c r="E1" s="274"/>
      <c r="F1" s="274"/>
      <c r="G1" s="274"/>
      <c r="H1" s="274"/>
      <c r="I1" s="274"/>
      <c r="J1" s="274"/>
      <c r="K1" s="274"/>
      <c r="L1" s="274"/>
      <c r="M1" s="274"/>
    </row>
    <row r="2" spans="1:16" ht="18">
      <c r="A2" s="275"/>
      <c r="B2" s="275"/>
      <c r="C2" s="2">
        <v>1</v>
      </c>
      <c r="D2" s="2">
        <v>7</v>
      </c>
      <c r="E2" s="3">
        <v>10</v>
      </c>
      <c r="F2" s="3">
        <v>11</v>
      </c>
      <c r="G2" s="3">
        <v>14</v>
      </c>
      <c r="H2" s="3">
        <v>30</v>
      </c>
      <c r="I2" s="3">
        <v>30</v>
      </c>
      <c r="J2" s="3">
        <v>33</v>
      </c>
      <c r="K2" s="3">
        <v>37</v>
      </c>
      <c r="L2" s="3">
        <v>77</v>
      </c>
    </row>
    <row r="3" spans="1:16" ht="18">
      <c r="A3" s="275"/>
      <c r="B3" s="275"/>
      <c r="C3" s="263" t="s">
        <v>0</v>
      </c>
      <c r="D3" s="4"/>
      <c r="E3" s="263" t="s">
        <v>1</v>
      </c>
      <c r="F3" s="263" t="s">
        <v>2</v>
      </c>
      <c r="G3" s="4"/>
      <c r="H3" s="4"/>
      <c r="I3" s="4"/>
      <c r="J3" s="4"/>
      <c r="K3" s="263" t="s">
        <v>3</v>
      </c>
      <c r="L3" s="4"/>
    </row>
    <row r="4" spans="1:16" ht="18">
      <c r="A4" s="275"/>
      <c r="B4" s="275"/>
      <c r="C4" s="263" t="s">
        <v>4</v>
      </c>
      <c r="D4" s="263" t="s">
        <v>5</v>
      </c>
      <c r="E4" s="263" t="s">
        <v>6</v>
      </c>
      <c r="F4" s="263" t="s">
        <v>7</v>
      </c>
      <c r="G4" s="263" t="s">
        <v>3</v>
      </c>
      <c r="H4" s="263" t="s">
        <v>3</v>
      </c>
      <c r="I4" s="263" t="s">
        <v>3</v>
      </c>
      <c r="J4" s="263" t="s">
        <v>8</v>
      </c>
      <c r="K4" s="263" t="s">
        <v>9</v>
      </c>
      <c r="L4" s="263" t="s">
        <v>2</v>
      </c>
    </row>
    <row r="5" spans="1:16" ht="18">
      <c r="A5" s="275"/>
      <c r="B5" s="275"/>
      <c r="C5" s="263" t="s">
        <v>10</v>
      </c>
      <c r="D5" s="263" t="s">
        <v>11</v>
      </c>
      <c r="E5" s="263" t="s">
        <v>12</v>
      </c>
      <c r="F5" s="263" t="s">
        <v>13</v>
      </c>
      <c r="G5" s="263" t="s">
        <v>14</v>
      </c>
      <c r="H5" s="263" t="s">
        <v>15</v>
      </c>
      <c r="I5" s="263" t="s">
        <v>15</v>
      </c>
      <c r="J5" s="263" t="s">
        <v>16</v>
      </c>
      <c r="K5" s="264" t="s">
        <v>17</v>
      </c>
      <c r="L5" s="263" t="s">
        <v>18</v>
      </c>
    </row>
    <row r="6" spans="1:16" ht="15.6">
      <c r="A6" s="275"/>
      <c r="B6" s="275"/>
      <c r="C6" s="5"/>
      <c r="D6" s="5"/>
      <c r="E6" s="5"/>
      <c r="F6" s="5"/>
      <c r="G6" s="5"/>
      <c r="H6" s="6" t="s">
        <v>19</v>
      </c>
      <c r="I6" s="6" t="s">
        <v>20</v>
      </c>
      <c r="J6" s="5"/>
      <c r="K6" s="5"/>
      <c r="L6" s="5"/>
    </row>
    <row r="7" spans="1:16" ht="29.1" hidden="1">
      <c r="A7" s="7" t="s">
        <v>21</v>
      </c>
      <c r="B7" s="5" t="s">
        <v>22</v>
      </c>
      <c r="C7" s="5" t="s">
        <v>23</v>
      </c>
      <c r="D7" s="5" t="s">
        <v>24</v>
      </c>
      <c r="E7" s="5" t="s">
        <v>25</v>
      </c>
      <c r="F7" s="5" t="s">
        <v>26</v>
      </c>
      <c r="G7" s="5" t="s">
        <v>27</v>
      </c>
      <c r="H7" s="5" t="s">
        <v>28</v>
      </c>
      <c r="I7" s="5" t="s">
        <v>29</v>
      </c>
      <c r="J7" s="5" t="s">
        <v>30</v>
      </c>
      <c r="K7" s="5" t="s">
        <v>31</v>
      </c>
      <c r="L7" s="5" t="s">
        <v>32</v>
      </c>
      <c r="M7" s="5" t="s">
        <v>33</v>
      </c>
      <c r="N7" s="5" t="s">
        <v>34</v>
      </c>
      <c r="O7" s="5" t="s">
        <v>35</v>
      </c>
      <c r="P7" s="5" t="s">
        <v>36</v>
      </c>
    </row>
    <row r="8" spans="1:16" ht="18.600000000000001">
      <c r="A8" s="87" t="s">
        <v>68</v>
      </c>
      <c r="B8" s="34"/>
      <c r="C8" s="34"/>
      <c r="D8" s="34"/>
      <c r="E8" s="34"/>
      <c r="F8" s="34"/>
      <c r="G8" s="34"/>
      <c r="H8" s="34"/>
      <c r="I8" s="34"/>
      <c r="J8" s="34"/>
      <c r="K8" s="34"/>
      <c r="L8" s="34"/>
      <c r="M8" s="35"/>
      <c r="N8" s="35"/>
      <c r="O8" s="35"/>
      <c r="P8" s="35"/>
    </row>
    <row r="9" spans="1:16" s="13" customFormat="1" ht="20.100000000000001">
      <c r="A9" s="44" t="s">
        <v>38</v>
      </c>
      <c r="B9" s="10"/>
      <c r="C9" s="53">
        <v>6115</v>
      </c>
      <c r="D9" s="53">
        <v>6340</v>
      </c>
      <c r="E9" s="53">
        <v>6115</v>
      </c>
      <c r="F9" s="53">
        <v>6873</v>
      </c>
      <c r="G9" s="53">
        <v>7002</v>
      </c>
      <c r="H9" s="53">
        <v>6964</v>
      </c>
      <c r="I9" s="53">
        <v>7018</v>
      </c>
      <c r="J9" s="53">
        <v>6300</v>
      </c>
      <c r="K9" s="53">
        <v>6115</v>
      </c>
      <c r="L9" s="53">
        <v>7158</v>
      </c>
      <c r="M9" s="12"/>
      <c r="N9" s="12"/>
      <c r="O9" s="12"/>
      <c r="P9" s="12"/>
    </row>
    <row r="10" spans="1:16" s="13" customFormat="1" ht="20.100000000000001">
      <c r="A10" s="45" t="s">
        <v>39</v>
      </c>
      <c r="B10" s="38"/>
      <c r="C10" s="54">
        <v>14506</v>
      </c>
      <c r="D10" s="54">
        <v>14370</v>
      </c>
      <c r="E10" s="54">
        <v>14506</v>
      </c>
      <c r="F10" s="54">
        <v>16287</v>
      </c>
      <c r="G10" s="54">
        <v>16950</v>
      </c>
      <c r="H10" s="54">
        <v>16453</v>
      </c>
      <c r="I10" s="54">
        <v>16897</v>
      </c>
      <c r="J10" s="54">
        <v>14515</v>
      </c>
      <c r="K10" s="54">
        <v>14506</v>
      </c>
      <c r="L10" s="54">
        <v>12487</v>
      </c>
      <c r="M10" s="39"/>
      <c r="N10" s="39"/>
      <c r="O10" s="39"/>
      <c r="P10" s="39"/>
    </row>
    <row r="11" spans="1:16" s="13" customFormat="1" ht="21">
      <c r="A11" s="44" t="s">
        <v>40</v>
      </c>
      <c r="B11" s="10"/>
      <c r="C11" s="55" t="s">
        <v>69</v>
      </c>
      <c r="D11" s="56">
        <v>1347</v>
      </c>
      <c r="E11" s="57">
        <v>1347</v>
      </c>
      <c r="F11" s="57">
        <v>1347</v>
      </c>
      <c r="G11" s="57">
        <v>1347</v>
      </c>
      <c r="H11" s="57">
        <v>1347</v>
      </c>
      <c r="I11" s="57">
        <v>1347</v>
      </c>
      <c r="J11" s="57">
        <v>1347</v>
      </c>
      <c r="K11" s="57">
        <v>1347</v>
      </c>
      <c r="L11" s="57">
        <v>1347</v>
      </c>
      <c r="M11" s="12"/>
      <c r="N11" s="12"/>
      <c r="O11" s="12"/>
      <c r="P11" s="12"/>
    </row>
    <row r="12" spans="1:16" s="13" customFormat="1" ht="21">
      <c r="A12" s="45" t="s">
        <v>42</v>
      </c>
      <c r="B12" s="38"/>
      <c r="C12" s="58" t="s">
        <v>70</v>
      </c>
      <c r="D12" s="59">
        <v>411.5</v>
      </c>
      <c r="E12" s="59">
        <v>127</v>
      </c>
      <c r="F12" s="59">
        <v>70.5</v>
      </c>
      <c r="G12" s="59">
        <v>105.75</v>
      </c>
      <c r="H12" s="59">
        <v>243.5</v>
      </c>
      <c r="I12" s="59">
        <v>243.5</v>
      </c>
      <c r="J12" s="59">
        <v>139.5</v>
      </c>
      <c r="K12" s="59">
        <v>70.5</v>
      </c>
      <c r="L12" s="59">
        <v>429.25</v>
      </c>
      <c r="M12" s="39"/>
      <c r="N12" s="39"/>
      <c r="O12" s="39"/>
      <c r="P12" s="39"/>
    </row>
    <row r="13" spans="1:16" s="20" customFormat="1" ht="20.100000000000001">
      <c r="A13" s="44" t="s">
        <v>44</v>
      </c>
      <c r="B13" s="70">
        <v>970</v>
      </c>
      <c r="C13" s="55"/>
      <c r="D13" s="60"/>
      <c r="E13" s="60"/>
      <c r="F13" s="60"/>
      <c r="G13" s="60"/>
      <c r="H13" s="60"/>
      <c r="I13" s="60"/>
      <c r="J13" s="60"/>
      <c r="K13" s="60"/>
      <c r="L13" s="60"/>
      <c r="M13" s="19"/>
      <c r="N13" s="19"/>
      <c r="O13" s="19"/>
      <c r="P13" s="19"/>
    </row>
    <row r="14" spans="1:16" s="13" customFormat="1" ht="20.100000000000001">
      <c r="A14" s="45" t="s">
        <v>45</v>
      </c>
      <c r="B14" s="58"/>
      <c r="C14" s="61" t="s">
        <v>71</v>
      </c>
      <c r="D14" s="59">
        <v>171</v>
      </c>
      <c r="E14" s="59">
        <v>171</v>
      </c>
      <c r="F14" s="59">
        <v>171</v>
      </c>
      <c r="G14" s="59">
        <v>171</v>
      </c>
      <c r="H14" s="59">
        <v>171</v>
      </c>
      <c r="I14" s="59">
        <v>171</v>
      </c>
      <c r="J14" s="59">
        <v>171</v>
      </c>
      <c r="K14" s="59">
        <v>171</v>
      </c>
      <c r="L14" s="59">
        <v>171</v>
      </c>
      <c r="M14" s="39"/>
      <c r="N14" s="39"/>
      <c r="O14" s="39"/>
      <c r="P14" s="39"/>
    </row>
    <row r="15" spans="1:16" s="13" customFormat="1" ht="20.100000000000001">
      <c r="A15" s="44" t="s">
        <v>72</v>
      </c>
      <c r="B15" s="55"/>
      <c r="C15" s="62">
        <v>11.2</v>
      </c>
      <c r="D15" s="63">
        <v>11.2</v>
      </c>
      <c r="E15" s="55"/>
      <c r="F15" s="62">
        <v>11.2</v>
      </c>
      <c r="G15" s="62">
        <v>11.2</v>
      </c>
      <c r="H15" s="62">
        <v>11.2</v>
      </c>
      <c r="I15" s="62">
        <v>11.2</v>
      </c>
      <c r="J15" s="62">
        <v>11.2</v>
      </c>
      <c r="K15" s="55"/>
      <c r="L15" s="62">
        <v>11.2</v>
      </c>
      <c r="M15" s="12"/>
      <c r="N15" s="12"/>
      <c r="O15" s="12"/>
      <c r="P15" s="12"/>
    </row>
    <row r="16" spans="1:16" ht="20.100000000000001">
      <c r="A16" s="45" t="s">
        <v>73</v>
      </c>
      <c r="B16" s="65"/>
      <c r="C16" s="64"/>
      <c r="D16" s="65"/>
      <c r="E16" s="65"/>
      <c r="F16" s="65"/>
      <c r="G16" s="65"/>
      <c r="H16" s="65"/>
      <c r="I16" s="65"/>
      <c r="J16" s="65"/>
      <c r="K16" s="65"/>
      <c r="L16" s="65"/>
      <c r="M16" s="37"/>
      <c r="N16" s="37"/>
      <c r="O16" s="37"/>
      <c r="P16" s="37"/>
    </row>
    <row r="17" spans="1:16" ht="18.600000000000001">
      <c r="A17" s="50"/>
      <c r="B17" s="67"/>
      <c r="C17" s="66"/>
      <c r="D17" s="67"/>
      <c r="E17" s="67"/>
      <c r="F17" s="67"/>
      <c r="G17" s="67"/>
      <c r="H17" s="67"/>
      <c r="I17" s="67"/>
      <c r="J17" s="67"/>
      <c r="K17" s="67"/>
      <c r="L17" s="67"/>
      <c r="M17" s="8"/>
      <c r="N17" s="8"/>
      <c r="O17" s="8"/>
      <c r="P17" s="8"/>
    </row>
    <row r="18" spans="1:16" ht="18.600000000000001">
      <c r="A18" s="87" t="s">
        <v>74</v>
      </c>
      <c r="B18" s="88"/>
      <c r="C18" s="89"/>
      <c r="D18" s="88"/>
      <c r="E18" s="88"/>
      <c r="F18" s="88"/>
      <c r="G18" s="88"/>
      <c r="H18" s="88"/>
      <c r="I18" s="88"/>
      <c r="J18" s="88"/>
      <c r="K18" s="88"/>
      <c r="L18" s="88"/>
      <c r="M18" s="35"/>
      <c r="N18" s="35"/>
      <c r="O18" s="35"/>
      <c r="P18" s="35"/>
    </row>
    <row r="19" spans="1:16" s="13" customFormat="1" ht="18.600000000000001">
      <c r="A19" s="48" t="s">
        <v>50</v>
      </c>
      <c r="B19" s="55"/>
      <c r="C19" s="62">
        <v>394</v>
      </c>
      <c r="D19" s="62">
        <v>407</v>
      </c>
      <c r="E19" s="62">
        <v>394</v>
      </c>
      <c r="F19" s="62">
        <v>451</v>
      </c>
      <c r="G19" s="62">
        <v>459</v>
      </c>
      <c r="H19" s="62">
        <v>460</v>
      </c>
      <c r="I19" s="62">
        <v>459</v>
      </c>
      <c r="J19" s="62">
        <v>407</v>
      </c>
      <c r="K19" s="62">
        <v>394</v>
      </c>
      <c r="L19" s="62">
        <v>476</v>
      </c>
      <c r="M19" s="12"/>
      <c r="N19" s="12"/>
      <c r="O19" s="12"/>
      <c r="P19" s="12"/>
    </row>
    <row r="20" spans="1:16" s="13" customFormat="1" ht="18.600000000000001">
      <c r="A20" s="49" t="s">
        <v>51</v>
      </c>
      <c r="B20" s="58"/>
      <c r="C20" s="59">
        <v>942</v>
      </c>
      <c r="D20" s="59">
        <v>931</v>
      </c>
      <c r="E20" s="59">
        <v>942</v>
      </c>
      <c r="F20" s="68">
        <v>1085</v>
      </c>
      <c r="G20" s="68">
        <v>1128</v>
      </c>
      <c r="H20" s="68">
        <v>1095</v>
      </c>
      <c r="I20" s="68">
        <v>1123</v>
      </c>
      <c r="J20" s="59">
        <v>942</v>
      </c>
      <c r="K20" s="59">
        <v>942</v>
      </c>
      <c r="L20" s="59">
        <v>832</v>
      </c>
      <c r="M20" s="39"/>
      <c r="N20" s="39"/>
      <c r="O20" s="39"/>
      <c r="P20" s="39"/>
    </row>
    <row r="21" spans="1:16" s="13" customFormat="1" ht="18.600000000000001">
      <c r="A21" s="48" t="s">
        <v>40</v>
      </c>
      <c r="B21" s="55"/>
      <c r="C21" s="55" t="s">
        <v>75</v>
      </c>
      <c r="D21" s="62">
        <v>304.5</v>
      </c>
      <c r="E21" s="62">
        <v>304.5</v>
      </c>
      <c r="F21" s="62">
        <v>304.5</v>
      </c>
      <c r="G21" s="62">
        <v>304.5</v>
      </c>
      <c r="H21" s="62">
        <v>304.5</v>
      </c>
      <c r="I21" s="62">
        <v>304.5</v>
      </c>
      <c r="J21" s="62">
        <v>304.5</v>
      </c>
      <c r="K21" s="62">
        <v>304.5</v>
      </c>
      <c r="L21" s="62">
        <v>304.5</v>
      </c>
      <c r="M21" s="12"/>
      <c r="N21" s="12"/>
      <c r="O21" s="12"/>
      <c r="P21" s="12"/>
    </row>
    <row r="22" spans="1:16" s="13" customFormat="1" ht="18.600000000000001">
      <c r="A22" s="49" t="s">
        <v>42</v>
      </c>
      <c r="B22" s="58"/>
      <c r="C22" s="58" t="s">
        <v>76</v>
      </c>
      <c r="D22" s="59">
        <v>118.5</v>
      </c>
      <c r="E22" s="59">
        <v>56</v>
      </c>
      <c r="F22" s="59">
        <v>28</v>
      </c>
      <c r="G22" s="59">
        <v>44.75</v>
      </c>
      <c r="H22" s="59">
        <v>52</v>
      </c>
      <c r="I22" s="59">
        <v>52</v>
      </c>
      <c r="J22" s="59">
        <v>61.5</v>
      </c>
      <c r="K22" s="59">
        <v>28</v>
      </c>
      <c r="L22" s="59">
        <v>403.75</v>
      </c>
      <c r="M22" s="39"/>
      <c r="N22" s="39"/>
      <c r="O22" s="39"/>
      <c r="P22" s="39"/>
    </row>
    <row r="23" spans="1:16" customFormat="1" ht="18.600000000000001">
      <c r="A23" s="51" t="s">
        <v>44</v>
      </c>
      <c r="B23" s="71">
        <v>279</v>
      </c>
      <c r="C23" s="69"/>
      <c r="D23" s="69"/>
      <c r="E23" s="69"/>
      <c r="F23" s="69"/>
      <c r="G23" s="69"/>
      <c r="H23" s="69"/>
      <c r="I23" s="69"/>
      <c r="J23" s="69"/>
      <c r="K23" s="69"/>
      <c r="L23" s="69"/>
      <c r="M23" s="29"/>
      <c r="N23" s="29"/>
      <c r="O23" s="29"/>
      <c r="P23" s="29"/>
    </row>
    <row r="24" spans="1:16" s="13" customFormat="1" ht="18.600000000000001">
      <c r="A24" s="49" t="s">
        <v>77</v>
      </c>
      <c r="B24" s="38"/>
      <c r="C24" s="59">
        <v>5.5</v>
      </c>
      <c r="D24" s="59">
        <v>5.5</v>
      </c>
      <c r="E24" s="58"/>
      <c r="F24" s="59">
        <v>5.5</v>
      </c>
      <c r="G24" s="59">
        <v>5.5</v>
      </c>
      <c r="H24" s="59">
        <v>5.5</v>
      </c>
      <c r="I24" s="59">
        <v>5.5</v>
      </c>
      <c r="J24" s="59">
        <v>5.5</v>
      </c>
      <c r="K24" s="58"/>
      <c r="L24" s="59">
        <v>5.5</v>
      </c>
      <c r="M24" s="39"/>
      <c r="N24" s="39"/>
      <c r="O24" s="39"/>
      <c r="P24" s="39"/>
    </row>
    <row r="25" spans="1:16" ht="18.600000000000001">
      <c r="A25" s="48" t="s">
        <v>78</v>
      </c>
      <c r="B25" s="30"/>
      <c r="C25" s="30"/>
      <c r="D25" s="23"/>
      <c r="E25" s="30"/>
      <c r="F25" s="30"/>
      <c r="G25" s="30"/>
      <c r="H25" s="30"/>
      <c r="I25" s="30"/>
      <c r="J25" s="30"/>
      <c r="K25" s="30"/>
      <c r="L25" s="30"/>
      <c r="M25" s="8"/>
      <c r="N25" s="8"/>
      <c r="O25" s="8"/>
      <c r="P25" s="8"/>
    </row>
    <row r="26" spans="1:16" ht="18">
      <c r="A26" s="49" t="s">
        <v>56</v>
      </c>
      <c r="B26" s="40"/>
      <c r="C26" s="40"/>
      <c r="D26" s="36" t="s">
        <v>57</v>
      </c>
      <c r="E26" s="40"/>
      <c r="F26" s="40"/>
      <c r="G26" s="40"/>
      <c r="H26" s="40"/>
      <c r="I26" s="40"/>
      <c r="J26" s="40"/>
      <c r="K26" s="40"/>
      <c r="L26" s="40"/>
      <c r="M26" s="37"/>
      <c r="N26" s="37"/>
      <c r="O26" s="37"/>
      <c r="P26" s="37"/>
    </row>
    <row r="27" spans="1:16" ht="18.95">
      <c r="A27" s="52"/>
      <c r="M27" s="8"/>
      <c r="N27" s="8"/>
      <c r="O27" s="8"/>
      <c r="P27" s="8"/>
    </row>
    <row r="28" spans="1:16" ht="18.600000000000001">
      <c r="A28" s="90" t="s">
        <v>58</v>
      </c>
      <c r="B28" s="74" t="s">
        <v>59</v>
      </c>
      <c r="C28" s="75">
        <v>88.5</v>
      </c>
      <c r="D28" s="37"/>
      <c r="E28" s="37"/>
      <c r="F28" s="37"/>
      <c r="G28" s="37"/>
      <c r="H28" s="37"/>
      <c r="I28" s="37"/>
      <c r="J28" s="37"/>
      <c r="K28" s="37"/>
      <c r="L28" s="41"/>
      <c r="M28" s="37"/>
      <c r="N28" s="37"/>
      <c r="O28" s="37"/>
      <c r="P28" s="37"/>
    </row>
    <row r="29" spans="1:16" ht="18">
      <c r="A29" s="8"/>
      <c r="B29" s="76">
        <v>2</v>
      </c>
      <c r="C29" s="77">
        <v>96</v>
      </c>
      <c r="D29" s="8"/>
      <c r="E29" s="8"/>
      <c r="F29" s="8"/>
      <c r="G29" s="8"/>
      <c r="H29" s="8"/>
      <c r="I29" s="8"/>
      <c r="J29" s="8"/>
      <c r="K29" s="8"/>
      <c r="M29" s="8"/>
      <c r="N29" s="8"/>
      <c r="O29" s="8"/>
      <c r="P29" s="8"/>
    </row>
    <row r="30" spans="1:16" ht="18">
      <c r="A30" s="37"/>
      <c r="B30" s="74">
        <v>3</v>
      </c>
      <c r="C30" s="75">
        <v>103.5</v>
      </c>
      <c r="D30" s="37"/>
      <c r="E30" s="37"/>
      <c r="F30" s="37"/>
      <c r="G30" s="37"/>
      <c r="H30" s="37"/>
      <c r="I30" s="37"/>
      <c r="J30" s="37"/>
      <c r="K30" s="37"/>
      <c r="L30" s="41"/>
      <c r="M30" s="37"/>
      <c r="N30" s="37"/>
      <c r="O30" s="37"/>
      <c r="P30" s="37"/>
    </row>
    <row r="31" spans="1:16" ht="18">
      <c r="A31" s="8"/>
      <c r="B31" s="76">
        <v>4</v>
      </c>
      <c r="C31" s="77">
        <v>111</v>
      </c>
      <c r="D31" s="8"/>
      <c r="E31" s="8"/>
      <c r="F31" s="8"/>
      <c r="G31" s="8"/>
      <c r="H31" s="8"/>
      <c r="I31" s="8"/>
      <c r="J31" s="8"/>
      <c r="K31" s="8"/>
      <c r="M31" s="8"/>
      <c r="N31" s="8"/>
      <c r="O31" s="8"/>
      <c r="P31" s="8"/>
    </row>
    <row r="32" spans="1:16" ht="18.600000000000001">
      <c r="A32" s="37"/>
      <c r="B32" s="74">
        <v>5</v>
      </c>
      <c r="C32" s="75">
        <v>118.5</v>
      </c>
      <c r="D32" s="78"/>
      <c r="E32" s="79" t="s">
        <v>60</v>
      </c>
      <c r="F32" s="43"/>
      <c r="G32" s="43"/>
      <c r="H32" s="43"/>
      <c r="I32" s="43"/>
      <c r="J32" s="43"/>
      <c r="K32" s="43"/>
      <c r="L32" s="80"/>
      <c r="M32" s="78"/>
      <c r="N32" s="78"/>
      <c r="O32" s="78"/>
      <c r="P32" s="78"/>
    </row>
    <row r="33" spans="1:16" ht="18.600000000000001">
      <c r="A33" s="8"/>
      <c r="B33" s="76">
        <v>6</v>
      </c>
      <c r="C33" s="77">
        <v>126</v>
      </c>
      <c r="D33" s="81"/>
      <c r="E33" s="73"/>
      <c r="F33" s="73"/>
      <c r="G33" s="73"/>
      <c r="H33" s="73"/>
      <c r="I33" s="73"/>
      <c r="J33" s="73"/>
      <c r="K33" s="73"/>
      <c r="L33" s="42"/>
      <c r="M33" s="81"/>
      <c r="N33" s="81"/>
      <c r="O33" s="81"/>
      <c r="P33" s="81"/>
    </row>
    <row r="34" spans="1:16" ht="20.100000000000001">
      <c r="A34" s="37"/>
      <c r="B34" s="74">
        <v>7</v>
      </c>
      <c r="C34" s="75">
        <v>133.5</v>
      </c>
      <c r="D34" s="82" t="s">
        <v>57</v>
      </c>
      <c r="E34" s="47" t="s">
        <v>61</v>
      </c>
      <c r="F34" s="43"/>
      <c r="G34" s="43"/>
      <c r="H34" s="43"/>
      <c r="I34" s="43"/>
      <c r="J34" s="43"/>
      <c r="K34" s="43"/>
      <c r="L34" s="80"/>
      <c r="M34" s="78"/>
      <c r="N34" s="78"/>
      <c r="O34" s="78"/>
      <c r="P34" s="78"/>
    </row>
    <row r="35" spans="1:16" ht="21">
      <c r="A35" s="8"/>
      <c r="B35" s="76">
        <v>8</v>
      </c>
      <c r="C35" s="77">
        <v>141</v>
      </c>
      <c r="D35" s="72">
        <v>1</v>
      </c>
      <c r="E35" s="83" t="s">
        <v>62</v>
      </c>
      <c r="F35" s="83"/>
      <c r="G35" s="83"/>
      <c r="H35" s="83"/>
      <c r="I35" s="83"/>
      <c r="J35" s="83"/>
      <c r="K35" s="83"/>
      <c r="L35" s="46"/>
      <c r="M35" s="84"/>
      <c r="N35" s="84"/>
      <c r="O35" s="84"/>
      <c r="P35" s="84"/>
    </row>
    <row r="36" spans="1:16" ht="21">
      <c r="A36" s="37"/>
      <c r="B36" s="74">
        <v>9</v>
      </c>
      <c r="C36" s="75">
        <v>148.5</v>
      </c>
      <c r="D36" s="82">
        <v>2</v>
      </c>
      <c r="E36" s="47" t="s">
        <v>63</v>
      </c>
      <c r="F36" s="47"/>
      <c r="G36" s="47"/>
      <c r="H36" s="47"/>
      <c r="I36" s="47"/>
      <c r="J36" s="47"/>
      <c r="K36" s="47"/>
      <c r="L36" s="85"/>
      <c r="M36" s="86"/>
      <c r="N36" s="86"/>
      <c r="O36" s="86"/>
      <c r="P36" s="86"/>
    </row>
    <row r="37" spans="1:16" ht="21">
      <c r="A37" s="8"/>
      <c r="B37" s="76">
        <v>10</v>
      </c>
      <c r="C37" s="77">
        <v>156</v>
      </c>
      <c r="D37" s="72"/>
      <c r="E37" s="83" t="s">
        <v>64</v>
      </c>
      <c r="F37" s="83"/>
      <c r="G37" s="83"/>
      <c r="H37" s="83"/>
      <c r="I37" s="83"/>
      <c r="J37" s="83"/>
      <c r="K37" s="83"/>
      <c r="L37" s="46"/>
      <c r="M37" s="84"/>
      <c r="N37" s="84"/>
      <c r="O37" s="84"/>
      <c r="P37" s="84"/>
    </row>
    <row r="38" spans="1:16" ht="21">
      <c r="A38" s="37"/>
      <c r="B38" s="74">
        <v>11</v>
      </c>
      <c r="C38" s="75">
        <v>163.5</v>
      </c>
      <c r="D38" s="82">
        <v>3</v>
      </c>
      <c r="E38" s="47" t="s">
        <v>65</v>
      </c>
      <c r="F38" s="47"/>
      <c r="G38" s="47"/>
      <c r="H38" s="47"/>
      <c r="I38" s="47"/>
      <c r="J38" s="47"/>
      <c r="K38" s="47"/>
      <c r="L38" s="85"/>
      <c r="M38" s="86"/>
      <c r="N38" s="86"/>
      <c r="O38" s="86"/>
      <c r="P38" s="86"/>
    </row>
    <row r="39" spans="1:16" ht="21">
      <c r="A39" s="72" t="s">
        <v>66</v>
      </c>
      <c r="B39" s="76"/>
      <c r="C39" s="77">
        <v>171</v>
      </c>
      <c r="D39" s="72">
        <v>4</v>
      </c>
      <c r="E39" s="83" t="s">
        <v>67</v>
      </c>
      <c r="F39" s="83"/>
      <c r="G39" s="83"/>
      <c r="H39" s="83"/>
      <c r="I39" s="83"/>
      <c r="J39" s="83"/>
      <c r="K39" s="83"/>
      <c r="L39" s="46"/>
      <c r="M39" s="84"/>
      <c r="N39" s="84"/>
      <c r="O39" s="84"/>
      <c r="P39" s="84"/>
    </row>
  </sheetData>
  <mergeCells count="2">
    <mergeCell ref="A1:M1"/>
    <mergeCell ref="A2:B6"/>
  </mergeCells>
  <pageMargins left="0.7" right="0.7" top="0.75" bottom="0.75" header="0.3" footer="0.3"/>
  <pageSetup orientation="portrait" horizontalDpi="300" verticalDpi="3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42"/>
  <sheetViews>
    <sheetView showGridLines="0" zoomScale="71" zoomScaleNormal="71" workbookViewId="0">
      <selection activeCell="B13" sqref="B13"/>
    </sheetView>
  </sheetViews>
  <sheetFormatPr defaultColWidth="9.140625" defaultRowHeight="14.45"/>
  <cols>
    <col min="1" max="1" width="53.5703125" style="1" bestFit="1" customWidth="1"/>
    <col min="2" max="2" width="12.5703125" style="1" bestFit="1" customWidth="1"/>
    <col min="3" max="3" width="18.28515625" style="1" bestFit="1" customWidth="1"/>
    <col min="4" max="4" width="18" style="1" customWidth="1"/>
    <col min="5" max="5" width="23.140625" style="1" bestFit="1" customWidth="1"/>
    <col min="6" max="6" width="31.28515625" style="1" customWidth="1"/>
    <col min="7" max="7" width="20.7109375" style="1" bestFit="1" customWidth="1"/>
    <col min="8" max="8" width="17.5703125" style="1" bestFit="1" customWidth="1"/>
    <col min="9" max="9" width="17.42578125" style="1" bestFit="1" customWidth="1"/>
    <col min="10" max="10" width="17" style="1" bestFit="1" customWidth="1"/>
    <col min="11" max="11" width="25.85546875" style="1" customWidth="1"/>
    <col min="12" max="12" width="18" style="1" bestFit="1" customWidth="1"/>
    <col min="13" max="14" width="9.140625" style="1"/>
    <col min="15" max="16" width="10" style="1" bestFit="1" customWidth="1"/>
    <col min="17" max="16384" width="9.140625" style="1"/>
  </cols>
  <sheetData>
    <row r="1" spans="1:12" ht="18">
      <c r="A1" s="243" t="s">
        <v>79</v>
      </c>
      <c r="B1" s="242"/>
      <c r="C1" s="95">
        <v>1</v>
      </c>
      <c r="D1" s="95">
        <v>7</v>
      </c>
      <c r="E1" s="96">
        <v>10</v>
      </c>
      <c r="F1" s="96">
        <v>11</v>
      </c>
      <c r="G1" s="96">
        <v>14</v>
      </c>
      <c r="H1" s="96">
        <v>30</v>
      </c>
      <c r="I1" s="96">
        <v>30</v>
      </c>
      <c r="J1" s="96">
        <v>33</v>
      </c>
      <c r="K1" s="96">
        <v>37</v>
      </c>
      <c r="L1" s="96">
        <v>77</v>
      </c>
    </row>
    <row r="2" spans="1:12" ht="18">
      <c r="A2" s="243" t="s">
        <v>80</v>
      </c>
      <c r="B2" s="242"/>
      <c r="C2" s="97" t="s">
        <v>0</v>
      </c>
      <c r="D2" s="98"/>
      <c r="E2" s="97" t="s">
        <v>1</v>
      </c>
      <c r="F2" s="97" t="s">
        <v>2</v>
      </c>
      <c r="G2" s="98"/>
      <c r="H2" s="98"/>
      <c r="I2" s="98"/>
      <c r="J2" s="98"/>
      <c r="K2" s="97" t="s">
        <v>3</v>
      </c>
      <c r="L2" s="98"/>
    </row>
    <row r="3" spans="1:12" ht="18">
      <c r="A3" s="243" t="s">
        <v>81</v>
      </c>
      <c r="B3" s="242"/>
      <c r="C3" s="97" t="s">
        <v>4</v>
      </c>
      <c r="D3" s="97" t="s">
        <v>5</v>
      </c>
      <c r="E3" s="97" t="s">
        <v>6</v>
      </c>
      <c r="F3" s="97" t="s">
        <v>82</v>
      </c>
      <c r="G3" s="97" t="s">
        <v>3</v>
      </c>
      <c r="H3" s="97" t="s">
        <v>3</v>
      </c>
      <c r="I3" s="97" t="s">
        <v>3</v>
      </c>
      <c r="J3" s="97" t="s">
        <v>8</v>
      </c>
      <c r="K3" s="97" t="s">
        <v>83</v>
      </c>
      <c r="L3" s="97" t="s">
        <v>2</v>
      </c>
    </row>
    <row r="4" spans="1:12" ht="36">
      <c r="A4" s="242"/>
      <c r="B4" s="242"/>
      <c r="C4" s="97" t="s">
        <v>84</v>
      </c>
      <c r="D4" s="97" t="s">
        <v>85</v>
      </c>
      <c r="E4" s="97" t="s">
        <v>86</v>
      </c>
      <c r="F4" s="100" t="s">
        <v>87</v>
      </c>
      <c r="G4" s="97" t="s">
        <v>88</v>
      </c>
      <c r="H4" s="97" t="s">
        <v>89</v>
      </c>
      <c r="I4" s="97" t="s">
        <v>89</v>
      </c>
      <c r="J4" s="97" t="s">
        <v>90</v>
      </c>
      <c r="K4" s="100" t="s">
        <v>91</v>
      </c>
      <c r="L4" s="97" t="s">
        <v>92</v>
      </c>
    </row>
    <row r="5" spans="1:12" ht="15.6">
      <c r="A5" s="242"/>
      <c r="B5" s="242"/>
      <c r="C5" s="5"/>
      <c r="D5" s="5"/>
      <c r="E5" s="5"/>
      <c r="F5" s="5"/>
      <c r="G5" s="5"/>
      <c r="H5" s="99" t="s">
        <v>19</v>
      </c>
      <c r="I5" s="99" t="s">
        <v>20</v>
      </c>
      <c r="J5" s="5"/>
      <c r="K5" s="5"/>
      <c r="L5" s="5"/>
    </row>
    <row r="6" spans="1:12" ht="18" hidden="1">
      <c r="A6" s="7" t="s">
        <v>21</v>
      </c>
      <c r="B6" s="5" t="s">
        <v>22</v>
      </c>
      <c r="C6" s="5" t="s">
        <v>23</v>
      </c>
      <c r="D6" s="5" t="s">
        <v>24</v>
      </c>
      <c r="E6" s="5" t="s">
        <v>25</v>
      </c>
      <c r="F6" s="5" t="s">
        <v>26</v>
      </c>
      <c r="G6" s="5" t="s">
        <v>27</v>
      </c>
      <c r="H6" s="5" t="s">
        <v>28</v>
      </c>
      <c r="I6" s="5" t="s">
        <v>29</v>
      </c>
      <c r="J6" s="5" t="s">
        <v>30</v>
      </c>
      <c r="K6" s="5" t="s">
        <v>31</v>
      </c>
      <c r="L6" s="5" t="s">
        <v>32</v>
      </c>
    </row>
    <row r="7" spans="1:12" ht="24.95">
      <c r="A7" s="113" t="s">
        <v>93</v>
      </c>
      <c r="B7" s="114"/>
      <c r="C7" s="114"/>
      <c r="D7" s="114"/>
      <c r="E7" s="114"/>
      <c r="F7" s="114"/>
      <c r="G7" s="114"/>
      <c r="H7" s="114"/>
      <c r="I7" s="114"/>
      <c r="J7" s="114"/>
      <c r="K7" s="114"/>
      <c r="L7" s="114"/>
    </row>
    <row r="8" spans="1:12" s="13" customFormat="1" ht="23.45">
      <c r="A8" s="120" t="s">
        <v>38</v>
      </c>
      <c r="B8" s="121"/>
      <c r="C8" s="122">
        <f>15381/2</f>
        <v>7690.5</v>
      </c>
      <c r="D8" s="122">
        <f>15945/2</f>
        <v>7972.5</v>
      </c>
      <c r="E8" s="122">
        <f>Table37[[#This Row],[Column3]]</f>
        <v>7690.5</v>
      </c>
      <c r="F8" s="122">
        <f>17286/2</f>
        <v>8643</v>
      </c>
      <c r="G8" s="122">
        <f>17609/2</f>
        <v>8804.5</v>
      </c>
      <c r="H8" s="122">
        <f>17515/2</f>
        <v>8757.5</v>
      </c>
      <c r="I8" s="122">
        <f>18535/2</f>
        <v>9267.5</v>
      </c>
      <c r="J8" s="122">
        <f>15844/2</f>
        <v>7922</v>
      </c>
      <c r="K8" s="122">
        <f>Table37[[#This Row],[Column3]]</f>
        <v>7690.5</v>
      </c>
      <c r="L8" s="122">
        <f>18002/2</f>
        <v>9001</v>
      </c>
    </row>
    <row r="9" spans="1:12" s="13" customFormat="1" ht="23.45">
      <c r="A9" s="120" t="s">
        <v>39</v>
      </c>
      <c r="B9" s="121"/>
      <c r="C9" s="123">
        <f>36831/2</f>
        <v>18415.5</v>
      </c>
      <c r="D9" s="122">
        <f>36486/2</f>
        <v>18243</v>
      </c>
      <c r="E9" s="122">
        <f>Table37[[#This Row],[Column3]]</f>
        <v>18415.5</v>
      </c>
      <c r="F9" s="123">
        <f>41353/2</f>
        <v>20676.5</v>
      </c>
      <c r="G9" s="123">
        <f>43036/2</f>
        <v>21518</v>
      </c>
      <c r="H9" s="123">
        <f>41777/2</f>
        <v>20888.5</v>
      </c>
      <c r="I9" s="123">
        <f>45049/2</f>
        <v>22524.5</v>
      </c>
      <c r="J9" s="123">
        <v>18426</v>
      </c>
      <c r="K9" s="123">
        <f>Table37[[#This Row],[Column3]]</f>
        <v>18415.5</v>
      </c>
      <c r="L9" s="123">
        <f>32042/2</f>
        <v>16021</v>
      </c>
    </row>
    <row r="10" spans="1:12" s="108" customFormat="1" ht="23.45">
      <c r="A10" s="124" t="s">
        <v>94</v>
      </c>
      <c r="B10" s="125"/>
      <c r="C10" s="126">
        <f>3188/2</f>
        <v>1594</v>
      </c>
      <c r="D10" s="126">
        <f>Table37[[#This Row],[Column3]]</f>
        <v>1594</v>
      </c>
      <c r="E10" s="126">
        <f>Table37[[#This Row],[Column4]]</f>
        <v>1594</v>
      </c>
      <c r="F10" s="126">
        <f>Table37[[#This Row],[Column5]]</f>
        <v>1594</v>
      </c>
      <c r="G10" s="126">
        <v>1596</v>
      </c>
      <c r="H10" s="126">
        <f>3187/2</f>
        <v>1593.5</v>
      </c>
      <c r="I10" s="126">
        <f>Table37[[#This Row],[Column8]]</f>
        <v>1593.5</v>
      </c>
      <c r="J10" s="126">
        <f>Table37[[#This Row],[Column3]]</f>
        <v>1594</v>
      </c>
      <c r="K10" s="126">
        <f>Table37[[#This Row],[Column3]]</f>
        <v>1594</v>
      </c>
      <c r="L10" s="126">
        <f>Table37[[#This Row],[Column8]]</f>
        <v>1593.5</v>
      </c>
    </row>
    <row r="11" spans="1:12" s="13" customFormat="1" ht="23.45">
      <c r="A11" s="120" t="s">
        <v>95</v>
      </c>
      <c r="B11" s="121"/>
      <c r="C11" s="127">
        <f>378/2</f>
        <v>189</v>
      </c>
      <c r="D11" s="122">
        <f>1236/2</f>
        <v>618</v>
      </c>
      <c r="E11" s="122">
        <f>520/2</f>
        <v>260</v>
      </c>
      <c r="F11" s="122">
        <f>Table37[[#This Row],[Column3]]</f>
        <v>189</v>
      </c>
      <c r="G11" s="122">
        <f>461/2</f>
        <v>230.5</v>
      </c>
      <c r="H11" s="122">
        <f>812/2</f>
        <v>406</v>
      </c>
      <c r="I11" s="122">
        <f>Table37[[#This Row],[Column8]]</f>
        <v>406</v>
      </c>
      <c r="J11" s="122">
        <f>550/2</f>
        <v>275</v>
      </c>
      <c r="K11" s="122">
        <f>Table37[[#This Row],[Column3]]</f>
        <v>189</v>
      </c>
      <c r="L11" s="122">
        <f>289/2</f>
        <v>144.5</v>
      </c>
    </row>
    <row r="12" spans="1:12" s="20" customFormat="1" ht="22.5">
      <c r="A12" s="120" t="s">
        <v>96</v>
      </c>
      <c r="B12" s="128"/>
      <c r="C12" s="127">
        <f>2443/2</f>
        <v>1221.5</v>
      </c>
      <c r="D12" s="127">
        <f>Table37[[#This Row],[Column3]]</f>
        <v>1221.5</v>
      </c>
      <c r="E12" s="127">
        <f>Table37[[#This Row],[Column3]]</f>
        <v>1221.5</v>
      </c>
      <c r="F12" s="127">
        <f>Table37[[#This Row],[Column3]]</f>
        <v>1221.5</v>
      </c>
      <c r="G12" s="127">
        <f>Table37[[#This Row],[Column3]]</f>
        <v>1221.5</v>
      </c>
      <c r="H12" s="127">
        <f>Table37[[#This Row],[Column3]]</f>
        <v>1221.5</v>
      </c>
      <c r="I12" s="127">
        <f>Table37[[#This Row],[Column3]]</f>
        <v>1221.5</v>
      </c>
      <c r="J12" s="127">
        <f>Table37[[#This Row],[Column3]]</f>
        <v>1221.5</v>
      </c>
      <c r="K12" s="127">
        <f>Table37[[#This Row],[Column3]]</f>
        <v>1221.5</v>
      </c>
      <c r="L12" s="127">
        <f>Table37[[#This Row],[Column3]]</f>
        <v>1221.5</v>
      </c>
    </row>
    <row r="13" spans="1:12" s="13" customFormat="1" ht="23.1">
      <c r="A13" s="120" t="s">
        <v>97</v>
      </c>
      <c r="B13" s="129"/>
      <c r="C13" s="127">
        <f>C32</f>
        <v>221</v>
      </c>
      <c r="D13" s="127">
        <f>C32</f>
        <v>221</v>
      </c>
      <c r="E13" s="127">
        <f>C32</f>
        <v>221</v>
      </c>
      <c r="F13" s="127">
        <f>C32</f>
        <v>221</v>
      </c>
      <c r="G13" s="127">
        <f>C32</f>
        <v>221</v>
      </c>
      <c r="H13" s="127">
        <f>C32</f>
        <v>221</v>
      </c>
      <c r="I13" s="127">
        <f>C32</f>
        <v>221</v>
      </c>
      <c r="J13" s="127">
        <f>C32</f>
        <v>221</v>
      </c>
      <c r="K13" s="127">
        <f>C32</f>
        <v>221</v>
      </c>
      <c r="L13" s="127">
        <f>C32</f>
        <v>221</v>
      </c>
    </row>
    <row r="14" spans="1:12" ht="24.95">
      <c r="A14" s="113" t="s">
        <v>98</v>
      </c>
      <c r="B14" s="116"/>
      <c r="C14" s="117"/>
      <c r="D14" s="118"/>
      <c r="E14" s="118"/>
      <c r="F14" s="118"/>
      <c r="G14" s="118"/>
      <c r="H14" s="118"/>
      <c r="I14" s="118"/>
      <c r="J14" s="118"/>
      <c r="K14" s="118"/>
      <c r="L14" s="118"/>
    </row>
    <row r="15" spans="1:12" s="13" customFormat="1" ht="23.1">
      <c r="A15" s="120" t="s">
        <v>50</v>
      </c>
      <c r="B15" s="129"/>
      <c r="C15" s="122">
        <v>496</v>
      </c>
      <c r="D15" s="122">
        <v>511</v>
      </c>
      <c r="E15" s="122">
        <f>Table37[[#This Row],[Column3]]</f>
        <v>496</v>
      </c>
      <c r="F15" s="122">
        <v>567</v>
      </c>
      <c r="G15" s="122">
        <v>577</v>
      </c>
      <c r="H15" s="122">
        <v>579</v>
      </c>
      <c r="I15" s="122">
        <v>603</v>
      </c>
      <c r="J15" s="122">
        <v>511</v>
      </c>
      <c r="K15" s="122">
        <f>Table37[[#This Row],[Column3]]</f>
        <v>496</v>
      </c>
      <c r="L15" s="122">
        <v>597</v>
      </c>
    </row>
    <row r="16" spans="1:12" s="13" customFormat="1" ht="45.6">
      <c r="A16" s="120" t="s">
        <v>51</v>
      </c>
      <c r="B16" s="129"/>
      <c r="C16" s="122">
        <v>1197</v>
      </c>
      <c r="D16" s="122">
        <v>1182</v>
      </c>
      <c r="E16" s="122">
        <f>Table37[[#This Row],[Column3]]</f>
        <v>1197</v>
      </c>
      <c r="F16" s="122">
        <v>1378</v>
      </c>
      <c r="G16" s="122">
        <v>1432</v>
      </c>
      <c r="H16" s="122">
        <v>1389</v>
      </c>
      <c r="I16" s="122">
        <v>1498</v>
      </c>
      <c r="J16" s="122">
        <v>1197</v>
      </c>
      <c r="K16" s="122">
        <f>Table37[[#This Row],[Column3]]</f>
        <v>1197</v>
      </c>
      <c r="L16" s="122">
        <v>1068</v>
      </c>
    </row>
    <row r="17" spans="1:12" s="13" customFormat="1" ht="23.1">
      <c r="A17" s="120" t="s">
        <v>94</v>
      </c>
      <c r="B17" s="129"/>
      <c r="C17" s="122">
        <f>647/2</f>
        <v>323.5</v>
      </c>
      <c r="D17" s="122">
        <f>Table37[[#This Row],[Column3]]</f>
        <v>323.5</v>
      </c>
      <c r="E17" s="122">
        <f>Table37[[#This Row],[Column3]]</f>
        <v>323.5</v>
      </c>
      <c r="F17" s="122">
        <f>Table37[[#This Row],[Column3]]</f>
        <v>323.5</v>
      </c>
      <c r="G17" s="122">
        <f>648/2</f>
        <v>324</v>
      </c>
      <c r="H17" s="122">
        <f>647/2</f>
        <v>323.5</v>
      </c>
      <c r="I17" s="122">
        <f>Table37[[#This Row],[Column3]]</f>
        <v>323.5</v>
      </c>
      <c r="J17" s="122">
        <f>Table37[[#This Row],[Column3]]</f>
        <v>323.5</v>
      </c>
      <c r="K17" s="122">
        <f>Table37[[#This Row],[Column3]]</f>
        <v>323.5</v>
      </c>
      <c r="L17" s="122">
        <f>Table37[[#This Row],[Column3]]</f>
        <v>323.5</v>
      </c>
    </row>
    <row r="18" spans="1:12" s="13" customFormat="1" ht="23.1">
      <c r="A18" s="120" t="s">
        <v>95</v>
      </c>
      <c r="B18" s="129"/>
      <c r="C18" s="122">
        <f>189/2</f>
        <v>94.5</v>
      </c>
      <c r="D18" s="122">
        <f>417/2</f>
        <v>208.5</v>
      </c>
      <c r="E18" s="122">
        <f>258/2</f>
        <v>129</v>
      </c>
      <c r="F18" s="122">
        <f>Table37[[#This Row],[Column3]]</f>
        <v>94.5</v>
      </c>
      <c r="G18" s="122">
        <f>228/2</f>
        <v>114</v>
      </c>
      <c r="H18" s="122">
        <f>249/2</f>
        <v>124.5</v>
      </c>
      <c r="I18" s="122">
        <f>Table37[[#This Row],[Column8]]</f>
        <v>124.5</v>
      </c>
      <c r="J18" s="122">
        <f>273/2</f>
        <v>136.5</v>
      </c>
      <c r="K18" s="122">
        <f>Table37[[#This Row],[Column3]]</f>
        <v>94.5</v>
      </c>
      <c r="L18" s="122">
        <f>143/2</f>
        <v>71.5</v>
      </c>
    </row>
    <row r="19" spans="1:12" customFormat="1" ht="22.5">
      <c r="A19" s="130" t="s">
        <v>96</v>
      </c>
      <c r="B19" s="131"/>
      <c r="C19" s="122">
        <f>701/2</f>
        <v>350.5</v>
      </c>
      <c r="D19" s="122">
        <f>Table37[[#This Row],[Column3]]</f>
        <v>350.5</v>
      </c>
      <c r="E19" s="122">
        <f>Table37[[#This Row],[Column3]]</f>
        <v>350.5</v>
      </c>
      <c r="F19" s="122">
        <f>Table37[[#This Row],[Column3]]</f>
        <v>350.5</v>
      </c>
      <c r="G19" s="122">
        <f>Table37[[#This Row],[Column3]]</f>
        <v>350.5</v>
      </c>
      <c r="H19" s="122">
        <f>Table37[[#This Row],[Column3]]</f>
        <v>350.5</v>
      </c>
      <c r="I19" s="122">
        <f>Table37[[#This Row],[Column3]]</f>
        <v>350.5</v>
      </c>
      <c r="J19" s="122">
        <f>Table37[[#This Row],[Column3]]</f>
        <v>350.5</v>
      </c>
      <c r="K19" s="122">
        <f>Table37[[#This Row],[Column3]]</f>
        <v>350.5</v>
      </c>
      <c r="L19" s="122">
        <f>Table37[[#This Row],[Column3]]</f>
        <v>350.5</v>
      </c>
    </row>
    <row r="20" spans="1:12" ht="45">
      <c r="A20" s="107" t="s">
        <v>99</v>
      </c>
      <c r="B20" s="109"/>
      <c r="C20" s="110" t="s">
        <v>100</v>
      </c>
      <c r="D20" s="110" t="s">
        <v>100</v>
      </c>
      <c r="E20" s="110" t="s">
        <v>100</v>
      </c>
      <c r="F20" s="110" t="s">
        <v>100</v>
      </c>
      <c r="G20" s="110" t="s">
        <v>100</v>
      </c>
      <c r="H20" s="110" t="s">
        <v>100</v>
      </c>
      <c r="I20" s="110" t="s">
        <v>100</v>
      </c>
      <c r="J20" s="110" t="s">
        <v>100</v>
      </c>
      <c r="K20" s="110" t="s">
        <v>100</v>
      </c>
      <c r="L20" s="110" t="s">
        <v>100</v>
      </c>
    </row>
    <row r="21" spans="1:12" ht="24.95">
      <c r="A21" s="119" t="s">
        <v>101</v>
      </c>
      <c r="B21" s="144" t="s">
        <v>59</v>
      </c>
      <c r="C21" s="145">
        <f t="shared" ref="C21:C30" si="0">C22-7.5</f>
        <v>138.5</v>
      </c>
      <c r="D21" s="143"/>
      <c r="E21" s="143"/>
      <c r="F21" s="143"/>
      <c r="G21" s="143"/>
      <c r="H21" s="143"/>
      <c r="I21" s="143"/>
      <c r="J21" s="143"/>
      <c r="K21" s="143"/>
      <c r="L21" s="143"/>
    </row>
    <row r="22" spans="1:12" ht="18">
      <c r="A22" s="254"/>
      <c r="B22" s="144">
        <v>2</v>
      </c>
      <c r="C22" s="145">
        <f t="shared" si="0"/>
        <v>146</v>
      </c>
      <c r="D22" s="256"/>
      <c r="E22" s="256"/>
      <c r="F22" s="256"/>
      <c r="G22" s="256"/>
      <c r="H22" s="256"/>
      <c r="I22" s="256"/>
      <c r="J22" s="256"/>
      <c r="K22" s="256"/>
      <c r="L22" s="256"/>
    </row>
    <row r="23" spans="1:12" ht="18">
      <c r="A23" s="254"/>
      <c r="B23" s="144">
        <v>3</v>
      </c>
      <c r="C23" s="145">
        <f t="shared" si="0"/>
        <v>153.5</v>
      </c>
      <c r="D23" s="134"/>
      <c r="E23" s="134"/>
      <c r="F23" s="134"/>
      <c r="G23" s="134"/>
      <c r="H23" s="134"/>
      <c r="I23" s="134"/>
      <c r="J23" s="134"/>
      <c r="K23" s="258"/>
      <c r="L23" s="134"/>
    </row>
    <row r="24" spans="1:12" ht="18">
      <c r="A24" s="254"/>
      <c r="B24" s="144">
        <v>4</v>
      </c>
      <c r="C24" s="145">
        <f t="shared" si="0"/>
        <v>161</v>
      </c>
      <c r="D24" s="255"/>
      <c r="E24" s="255"/>
      <c r="F24" s="255"/>
      <c r="G24" s="255"/>
      <c r="H24" s="257"/>
      <c r="I24" s="257"/>
      <c r="J24" s="255"/>
      <c r="K24" s="255"/>
      <c r="L24" s="255"/>
    </row>
    <row r="25" spans="1:12" ht="18.600000000000001">
      <c r="A25" s="132"/>
      <c r="B25" s="144">
        <v>5</v>
      </c>
      <c r="C25" s="145">
        <f t="shared" si="0"/>
        <v>168.5</v>
      </c>
      <c r="D25" s="135"/>
      <c r="E25" s="136"/>
      <c r="F25" s="137"/>
      <c r="G25" s="137"/>
      <c r="H25" s="137"/>
      <c r="I25" s="137"/>
      <c r="J25" s="137"/>
      <c r="K25" s="137"/>
      <c r="L25" s="138"/>
    </row>
    <row r="26" spans="1:12" ht="18.600000000000001">
      <c r="A26" s="132"/>
      <c r="B26" s="144">
        <v>6</v>
      </c>
      <c r="C26" s="145">
        <f t="shared" si="0"/>
        <v>176</v>
      </c>
      <c r="D26" s="135"/>
      <c r="E26" s="137"/>
      <c r="F26" s="137"/>
      <c r="G26" s="137"/>
      <c r="H26" s="137"/>
      <c r="I26" s="137"/>
      <c r="J26" s="137"/>
      <c r="K26" s="137"/>
      <c r="L26" s="138"/>
    </row>
    <row r="27" spans="1:12" ht="20.100000000000001">
      <c r="A27" s="132"/>
      <c r="B27" s="144">
        <v>7</v>
      </c>
      <c r="C27" s="145">
        <f t="shared" si="0"/>
        <v>183.5</v>
      </c>
      <c r="D27" s="139"/>
      <c r="E27" s="140"/>
      <c r="F27" s="137"/>
      <c r="G27" s="137"/>
      <c r="H27" s="137"/>
      <c r="I27" s="137"/>
      <c r="J27" s="137"/>
      <c r="K27" s="137"/>
      <c r="L27" s="138"/>
    </row>
    <row r="28" spans="1:12" ht="21">
      <c r="A28" s="132"/>
      <c r="B28" s="144">
        <v>8</v>
      </c>
      <c r="C28" s="145">
        <f t="shared" si="0"/>
        <v>191</v>
      </c>
      <c r="D28" s="139"/>
      <c r="E28" s="140"/>
      <c r="F28" s="140"/>
      <c r="G28" s="140"/>
      <c r="H28" s="140"/>
      <c r="I28" s="140"/>
      <c r="J28" s="140"/>
      <c r="K28" s="140"/>
      <c r="L28" s="141"/>
    </row>
    <row r="29" spans="1:12" ht="21">
      <c r="A29" s="132"/>
      <c r="B29" s="144">
        <v>9</v>
      </c>
      <c r="C29" s="145">
        <f t="shared" si="0"/>
        <v>198.5</v>
      </c>
      <c r="D29" s="139"/>
      <c r="E29" s="140"/>
      <c r="F29" s="140"/>
      <c r="G29" s="140"/>
      <c r="H29" s="140"/>
      <c r="I29" s="140"/>
      <c r="J29" s="140"/>
      <c r="K29" s="140"/>
      <c r="L29" s="141"/>
    </row>
    <row r="30" spans="1:12" ht="21">
      <c r="A30" s="132"/>
      <c r="B30" s="144">
        <v>10</v>
      </c>
      <c r="C30" s="145">
        <f t="shared" si="0"/>
        <v>206</v>
      </c>
      <c r="D30" s="139"/>
      <c r="E30" s="140"/>
      <c r="F30" s="140"/>
      <c r="G30" s="140"/>
      <c r="H30" s="140"/>
      <c r="I30" s="140"/>
      <c r="J30" s="140"/>
      <c r="K30" s="140"/>
      <c r="L30" s="141"/>
    </row>
    <row r="31" spans="1:12" ht="21">
      <c r="A31" s="132"/>
      <c r="B31" s="144">
        <v>11</v>
      </c>
      <c r="C31" s="145">
        <f>C32-7.5</f>
        <v>213.5</v>
      </c>
      <c r="D31" s="139"/>
      <c r="E31" s="140"/>
      <c r="F31" s="140"/>
      <c r="G31" s="140"/>
      <c r="H31" s="140"/>
      <c r="I31" s="140"/>
      <c r="J31" s="140"/>
      <c r="K31" s="140"/>
      <c r="L31" s="141"/>
    </row>
    <row r="32" spans="1:12" ht="24.95">
      <c r="A32" s="133"/>
      <c r="B32" s="144" t="s">
        <v>66</v>
      </c>
      <c r="C32" s="145">
        <f>442/2</f>
        <v>221</v>
      </c>
      <c r="D32" s="139"/>
      <c r="E32" s="140"/>
      <c r="F32" s="140"/>
      <c r="G32" s="140"/>
      <c r="H32" s="140"/>
      <c r="I32" s="140"/>
      <c r="J32" s="140"/>
      <c r="K32" s="140"/>
      <c r="L32" s="141"/>
    </row>
    <row r="34" spans="1:6">
      <c r="C34" s="241"/>
    </row>
    <row r="35" spans="1:6" ht="15.6">
      <c r="A35" s="267" t="s">
        <v>102</v>
      </c>
      <c r="B35" s="268"/>
      <c r="C35" s="240"/>
      <c r="D35" s="228"/>
      <c r="E35" s="276"/>
      <c r="F35" s="277"/>
    </row>
    <row r="36" spans="1:6" ht="15.6">
      <c r="A36" s="265"/>
      <c r="B36" s="266"/>
      <c r="C36" s="266"/>
      <c r="D36" s="266"/>
      <c r="E36" s="278"/>
      <c r="F36" s="278"/>
    </row>
    <row r="37" spans="1:6" ht="18.600000000000001">
      <c r="A37" s="265" t="s">
        <v>103</v>
      </c>
      <c r="B37" s="229"/>
      <c r="C37" s="266"/>
      <c r="D37" s="266"/>
      <c r="E37" s="278"/>
      <c r="F37" s="278"/>
    </row>
    <row r="38" spans="1:6" ht="15.6">
      <c r="A38" s="265" t="s">
        <v>104</v>
      </c>
      <c r="B38" s="266"/>
      <c r="C38" s="266"/>
      <c r="D38" s="266"/>
      <c r="E38" s="266"/>
      <c r="F38" s="269"/>
    </row>
    <row r="39" spans="1:6" ht="15.6">
      <c r="A39" s="265" t="s">
        <v>105</v>
      </c>
      <c r="B39" s="266"/>
      <c r="C39" s="266"/>
      <c r="D39" s="266"/>
      <c r="E39" s="266"/>
      <c r="F39" s="269"/>
    </row>
    <row r="40" spans="1:6" ht="15.6">
      <c r="A40" s="265" t="s">
        <v>106</v>
      </c>
      <c r="B40" s="266"/>
      <c r="C40" s="266"/>
      <c r="D40" s="266"/>
      <c r="E40" s="266"/>
      <c r="F40" s="269"/>
    </row>
    <row r="41" spans="1:6" ht="15.6">
      <c r="A41" s="265" t="s">
        <v>107</v>
      </c>
      <c r="B41" s="266"/>
      <c r="C41" s="266"/>
      <c r="D41" s="266"/>
      <c r="E41" s="266"/>
      <c r="F41" s="269"/>
    </row>
    <row r="42" spans="1:6" ht="15.6">
      <c r="A42" s="270" t="s">
        <v>108</v>
      </c>
      <c r="B42" s="271"/>
      <c r="C42" s="271"/>
      <c r="D42" s="271"/>
      <c r="E42" s="271"/>
      <c r="F42" s="272"/>
    </row>
  </sheetData>
  <mergeCells count="3">
    <mergeCell ref="E35:F35"/>
    <mergeCell ref="E36:F36"/>
    <mergeCell ref="E37:F37"/>
  </mergeCells>
  <phoneticPr fontId="44" type="noConversion"/>
  <pageMargins left="0.7" right="0.7" top="0.75" bottom="0.75" header="0.3" footer="0.3"/>
  <pageSetup scale="44" fitToHeight="0" orientation="landscape" horizontalDpi="300" verticalDpi="3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66"/>
  <sheetViews>
    <sheetView showGridLines="0" topLeftCell="A2" zoomScale="72" zoomScaleNormal="72" workbookViewId="0">
      <selection activeCell="A2" sqref="A2"/>
    </sheetView>
  </sheetViews>
  <sheetFormatPr defaultColWidth="9.140625" defaultRowHeight="14.1"/>
  <cols>
    <col min="1" max="1" width="53.5703125" style="153" bestFit="1" customWidth="1"/>
    <col min="2" max="2" width="13" style="153" bestFit="1" customWidth="1"/>
    <col min="3" max="3" width="18.28515625" style="153" bestFit="1" customWidth="1"/>
    <col min="4" max="6" width="19" style="153" bestFit="1" customWidth="1"/>
    <col min="7" max="7" width="23" style="153" bestFit="1" customWidth="1"/>
    <col min="8" max="8" width="25.5703125" style="153" bestFit="1" customWidth="1"/>
    <col min="9" max="9" width="25.5703125" style="153" customWidth="1"/>
    <col min="10" max="10" width="20.5703125" style="153" bestFit="1" customWidth="1"/>
    <col min="11" max="11" width="17.42578125" style="153" bestFit="1" customWidth="1"/>
    <col min="12" max="12" width="17.42578125" style="172" customWidth="1"/>
    <col min="13" max="13" width="17.28515625" style="153" bestFit="1" customWidth="1"/>
    <col min="14" max="15" width="21" style="153" customWidth="1"/>
    <col min="16" max="16" width="21.85546875" style="153" bestFit="1" customWidth="1"/>
    <col min="17" max="17" width="22.140625" style="153" customWidth="1"/>
    <col min="18" max="18" width="17.85546875" style="153" customWidth="1"/>
    <col min="19" max="19" width="19" style="153" bestFit="1" customWidth="1"/>
    <col min="20" max="16384" width="9.140625" style="153"/>
  </cols>
  <sheetData>
    <row r="1" spans="1:19" ht="18" hidden="1">
      <c r="A1" s="273"/>
      <c r="B1" s="273"/>
      <c r="C1" s="273"/>
      <c r="D1" s="273"/>
      <c r="E1" s="273"/>
      <c r="F1" s="273"/>
      <c r="G1" s="273"/>
      <c r="H1" s="273"/>
      <c r="I1" s="273"/>
      <c r="J1" s="273"/>
      <c r="K1" s="273"/>
      <c r="L1" s="273"/>
      <c r="M1" s="273"/>
      <c r="N1" s="273"/>
      <c r="O1" s="273"/>
      <c r="P1" s="273"/>
      <c r="Q1" s="273"/>
      <c r="R1" s="273"/>
      <c r="S1" s="273"/>
    </row>
    <row r="2" spans="1:19" ht="18">
      <c r="A2" s="243" t="s">
        <v>79</v>
      </c>
      <c r="B2" s="246"/>
      <c r="C2" s="95">
        <v>8</v>
      </c>
      <c r="D2" s="95">
        <v>15</v>
      </c>
      <c r="E2" s="95">
        <v>15</v>
      </c>
      <c r="F2" s="95">
        <v>15</v>
      </c>
      <c r="G2" s="96">
        <v>17</v>
      </c>
      <c r="H2" s="96">
        <v>18</v>
      </c>
      <c r="I2" s="96">
        <v>18</v>
      </c>
      <c r="J2" s="96">
        <v>19</v>
      </c>
      <c r="K2" s="96">
        <v>31</v>
      </c>
      <c r="L2" s="96">
        <v>31</v>
      </c>
      <c r="M2" s="96">
        <v>34</v>
      </c>
      <c r="N2" s="96">
        <v>34</v>
      </c>
      <c r="O2" s="96">
        <v>34</v>
      </c>
      <c r="P2" s="96">
        <v>38</v>
      </c>
      <c r="Q2" s="96">
        <v>38</v>
      </c>
      <c r="R2" s="96">
        <v>38</v>
      </c>
      <c r="S2" s="96">
        <v>38</v>
      </c>
    </row>
    <row r="3" spans="1:19" ht="18">
      <c r="A3" s="243" t="s">
        <v>80</v>
      </c>
      <c r="B3" s="246"/>
      <c r="C3" s="97" t="s">
        <v>109</v>
      </c>
      <c r="D3" s="105" t="s">
        <v>109</v>
      </c>
      <c r="E3" s="105" t="s">
        <v>109</v>
      </c>
      <c r="F3" s="155" t="s">
        <v>109</v>
      </c>
      <c r="G3" s="97" t="s">
        <v>109</v>
      </c>
      <c r="H3" s="97" t="s">
        <v>109</v>
      </c>
      <c r="I3" s="97" t="s">
        <v>109</v>
      </c>
      <c r="J3" s="97" t="s">
        <v>109</v>
      </c>
      <c r="K3" s="105" t="s">
        <v>109</v>
      </c>
      <c r="L3" s="105" t="s">
        <v>109</v>
      </c>
      <c r="M3" s="105" t="s">
        <v>110</v>
      </c>
      <c r="N3" s="105" t="s">
        <v>110</v>
      </c>
      <c r="O3" s="105" t="s">
        <v>110</v>
      </c>
      <c r="P3" s="105" t="s">
        <v>109</v>
      </c>
      <c r="Q3" s="97" t="s">
        <v>111</v>
      </c>
      <c r="R3" s="97" t="s">
        <v>111</v>
      </c>
      <c r="S3" s="97" t="s">
        <v>111</v>
      </c>
    </row>
    <row r="4" spans="1:19" ht="54">
      <c r="A4" s="243" t="s">
        <v>112</v>
      </c>
      <c r="B4" s="246"/>
      <c r="C4" s="97" t="s">
        <v>113</v>
      </c>
      <c r="D4" s="97" t="s">
        <v>114</v>
      </c>
      <c r="E4" s="97" t="s">
        <v>115</v>
      </c>
      <c r="F4" s="97" t="s">
        <v>115</v>
      </c>
      <c r="G4" s="97" t="s">
        <v>114</v>
      </c>
      <c r="H4" s="97" t="s">
        <v>116</v>
      </c>
      <c r="I4" s="97" t="s">
        <v>116</v>
      </c>
      <c r="J4" s="97" t="s">
        <v>114</v>
      </c>
      <c r="K4" s="97" t="s">
        <v>114</v>
      </c>
      <c r="L4" s="97" t="s">
        <v>114</v>
      </c>
      <c r="M4" s="97" t="s">
        <v>117</v>
      </c>
      <c r="N4" s="97" t="s">
        <v>118</v>
      </c>
      <c r="O4" s="97" t="s">
        <v>119</v>
      </c>
      <c r="P4" s="97" t="s">
        <v>114</v>
      </c>
      <c r="Q4" s="97" t="s">
        <v>120</v>
      </c>
      <c r="R4" s="97" t="s">
        <v>121</v>
      </c>
      <c r="S4" s="100" t="s">
        <v>122</v>
      </c>
    </row>
    <row r="5" spans="1:19" ht="72">
      <c r="A5" s="246"/>
      <c r="B5" s="246"/>
      <c r="C5" s="100" t="s">
        <v>123</v>
      </c>
      <c r="D5" s="100" t="s">
        <v>124</v>
      </c>
      <c r="E5" s="100" t="s">
        <v>125</v>
      </c>
      <c r="F5" s="100" t="s">
        <v>126</v>
      </c>
      <c r="G5" s="100" t="s">
        <v>127</v>
      </c>
      <c r="H5" s="100" t="s">
        <v>128</v>
      </c>
      <c r="I5" s="100" t="s">
        <v>129</v>
      </c>
      <c r="J5" s="100" t="s">
        <v>130</v>
      </c>
      <c r="K5" s="97" t="s">
        <v>89</v>
      </c>
      <c r="L5" s="97" t="s">
        <v>89</v>
      </c>
      <c r="M5" s="100" t="s">
        <v>131</v>
      </c>
      <c r="N5" s="100" t="s">
        <v>132</v>
      </c>
      <c r="O5" s="100" t="s">
        <v>132</v>
      </c>
      <c r="P5" s="100" t="s">
        <v>133</v>
      </c>
      <c r="Q5" s="100" t="s">
        <v>134</v>
      </c>
      <c r="R5" s="100" t="s">
        <v>135</v>
      </c>
      <c r="S5" s="100" t="s">
        <v>136</v>
      </c>
    </row>
    <row r="6" spans="1:19" ht="36">
      <c r="A6" s="246"/>
      <c r="B6" s="246"/>
      <c r="C6" s="156"/>
      <c r="D6" s="156"/>
      <c r="E6" s="156"/>
      <c r="F6" s="156"/>
      <c r="G6" s="156"/>
      <c r="H6" s="156"/>
      <c r="I6" s="156"/>
      <c r="J6" s="157"/>
      <c r="K6" s="105" t="s">
        <v>137</v>
      </c>
      <c r="L6" s="105" t="s">
        <v>138</v>
      </c>
      <c r="M6" s="99"/>
      <c r="N6" s="99"/>
      <c r="O6" s="99"/>
      <c r="P6" s="156"/>
      <c r="Q6" s="156"/>
      <c r="R6" s="156"/>
      <c r="S6" s="156"/>
    </row>
    <row r="7" spans="1:19" ht="30" hidden="1" customHeight="1">
      <c r="A7" s="7" t="s">
        <v>21</v>
      </c>
      <c r="B7" s="156" t="s">
        <v>22</v>
      </c>
      <c r="C7" s="156" t="s">
        <v>23</v>
      </c>
      <c r="D7" s="156" t="s">
        <v>24</v>
      </c>
      <c r="E7" s="156" t="s">
        <v>139</v>
      </c>
      <c r="F7" s="156" t="s">
        <v>140</v>
      </c>
      <c r="G7" s="156" t="s">
        <v>25</v>
      </c>
      <c r="H7" s="156" t="s">
        <v>26</v>
      </c>
      <c r="I7" s="156" t="s">
        <v>141</v>
      </c>
      <c r="J7" s="156" t="s">
        <v>27</v>
      </c>
      <c r="K7" s="156" t="s">
        <v>28</v>
      </c>
      <c r="L7" s="158" t="s">
        <v>142</v>
      </c>
      <c r="M7" s="156" t="s">
        <v>29</v>
      </c>
      <c r="N7" s="156" t="s">
        <v>143</v>
      </c>
      <c r="O7" s="156" t="s">
        <v>144</v>
      </c>
      <c r="P7" s="156" t="s">
        <v>30</v>
      </c>
      <c r="Q7" s="156" t="s">
        <v>31</v>
      </c>
      <c r="R7" s="156" t="s">
        <v>32</v>
      </c>
      <c r="S7" s="156" t="s">
        <v>145</v>
      </c>
    </row>
    <row r="8" spans="1:19" ht="24.95">
      <c r="A8" s="113" t="s">
        <v>93</v>
      </c>
      <c r="B8" s="159"/>
      <c r="C8" s="159"/>
      <c r="D8" s="159"/>
      <c r="E8" s="159"/>
      <c r="F8" s="159"/>
      <c r="G8" s="159"/>
      <c r="H8" s="159"/>
      <c r="I8" s="159"/>
      <c r="J8" s="159"/>
      <c r="K8" s="159"/>
      <c r="L8" s="159"/>
      <c r="M8" s="159"/>
      <c r="N8" s="159"/>
      <c r="O8" s="159"/>
      <c r="P8" s="159"/>
      <c r="Q8" s="159"/>
      <c r="R8" s="159"/>
      <c r="S8" s="159"/>
    </row>
    <row r="9" spans="1:19" s="161" customFormat="1" ht="43.5">
      <c r="A9" s="120" t="s">
        <v>146</v>
      </c>
      <c r="B9" s="160"/>
      <c r="C9" s="122">
        <f t="shared" ref="C9:J10" si="0">C16*12</f>
        <v>12060</v>
      </c>
      <c r="D9" s="122">
        <f t="shared" si="0"/>
        <v>11148</v>
      </c>
      <c r="E9" s="122">
        <f t="shared" ref="E9" si="1">E16*12</f>
        <v>11148</v>
      </c>
      <c r="F9" s="122">
        <f t="shared" ref="F9" si="2">F16*12</f>
        <v>11148</v>
      </c>
      <c r="G9" s="122">
        <f t="shared" si="0"/>
        <v>11148</v>
      </c>
      <c r="H9" s="122">
        <f t="shared" si="0"/>
        <v>14088</v>
      </c>
      <c r="I9" s="122">
        <f t="shared" ref="I9" si="3">I16*12</f>
        <v>14088</v>
      </c>
      <c r="J9" s="122">
        <f t="shared" si="0"/>
        <v>10872</v>
      </c>
      <c r="K9" s="122">
        <f>23843/2</f>
        <v>11921.5</v>
      </c>
      <c r="L9" s="122">
        <f t="shared" ref="L9:P10" si="4">L16*12</f>
        <v>12120</v>
      </c>
      <c r="M9" s="122">
        <f t="shared" si="4"/>
        <v>11148</v>
      </c>
      <c r="N9" s="122">
        <f t="shared" si="4"/>
        <v>12084</v>
      </c>
      <c r="O9" s="122">
        <f t="shared" ref="O9" si="5">O16*12</f>
        <v>15000</v>
      </c>
      <c r="P9" s="122">
        <f t="shared" si="4"/>
        <v>13260</v>
      </c>
      <c r="Q9" s="122">
        <f t="shared" ref="Q9:S10" si="6">Q16*12</f>
        <v>15972</v>
      </c>
      <c r="R9" s="122">
        <f t="shared" si="6"/>
        <v>15972</v>
      </c>
      <c r="S9" s="122">
        <f t="shared" si="6"/>
        <v>15972</v>
      </c>
    </row>
    <row r="10" spans="1:19" s="161" customFormat="1" ht="41.1">
      <c r="A10" s="120" t="s">
        <v>147</v>
      </c>
      <c r="B10" s="160"/>
      <c r="C10" s="122">
        <f t="shared" si="0"/>
        <v>19272</v>
      </c>
      <c r="D10" s="122">
        <f t="shared" si="0"/>
        <v>19140</v>
      </c>
      <c r="E10" s="122">
        <f t="shared" ref="E10" si="7">E17*12</f>
        <v>19140</v>
      </c>
      <c r="F10" s="122">
        <f t="shared" ref="F10" si="8">F17*12</f>
        <v>11148</v>
      </c>
      <c r="G10" s="122">
        <f t="shared" si="0"/>
        <v>19140</v>
      </c>
      <c r="H10" s="122">
        <f t="shared" si="0"/>
        <v>23736</v>
      </c>
      <c r="I10" s="122">
        <f t="shared" ref="I10" si="9">I17*12</f>
        <v>14088</v>
      </c>
      <c r="J10" s="122">
        <f t="shared" si="0"/>
        <v>18672</v>
      </c>
      <c r="K10" s="122">
        <f>47366/2</f>
        <v>23683</v>
      </c>
      <c r="L10" s="122">
        <f t="shared" si="4"/>
        <v>20988</v>
      </c>
      <c r="M10" s="122">
        <f t="shared" si="4"/>
        <v>19044</v>
      </c>
      <c r="N10" s="122">
        <f t="shared" si="4"/>
        <v>20640</v>
      </c>
      <c r="O10" s="122">
        <f t="shared" ref="O10" si="10">O17*12</f>
        <v>15000</v>
      </c>
      <c r="P10" s="122">
        <f t="shared" si="4"/>
        <v>22536</v>
      </c>
      <c r="Q10" s="122">
        <f t="shared" si="6"/>
        <v>15972</v>
      </c>
      <c r="R10" s="122">
        <f t="shared" si="6"/>
        <v>15972</v>
      </c>
      <c r="S10" s="122">
        <f t="shared" si="6"/>
        <v>15972</v>
      </c>
    </row>
    <row r="11" spans="1:19" s="161" customFormat="1" ht="22.5">
      <c r="A11" s="120" t="s">
        <v>94</v>
      </c>
      <c r="B11" s="160"/>
      <c r="C11" s="122">
        <f>Table356[[#This Row],[Column3]]</f>
        <v>964</v>
      </c>
      <c r="D11" s="122">
        <f>Table35[[#This Row],[Column3]]</f>
        <v>964</v>
      </c>
      <c r="E11" s="122">
        <f>Table35[[#This Row],[Column3]]</f>
        <v>964</v>
      </c>
      <c r="F11" s="122">
        <f>Table35[[#This Row],[Column3]]</f>
        <v>964</v>
      </c>
      <c r="G11" s="122">
        <f>Table35[[#This Row],[Column3]]</f>
        <v>964</v>
      </c>
      <c r="H11" s="122">
        <f>Table35[[#This Row],[Column3]]</f>
        <v>964</v>
      </c>
      <c r="I11" s="122"/>
      <c r="J11" s="122">
        <f>Table35[[#This Row],[Column3]]</f>
        <v>964</v>
      </c>
      <c r="K11" s="122">
        <f>Table35[[#This Row],[Column3]]</f>
        <v>964</v>
      </c>
      <c r="L11" s="122">
        <f>Table35[[#This Row],[Column3]]</f>
        <v>964</v>
      </c>
      <c r="M11" s="122">
        <f>Table35[[#This Row],[Column3]]</f>
        <v>964</v>
      </c>
      <c r="N11" s="122">
        <f>Table35[[#This Row],[Column3]]</f>
        <v>964</v>
      </c>
      <c r="O11" s="122">
        <f>Table35[[#This Row],[Column3]]</f>
        <v>964</v>
      </c>
      <c r="P11" s="122">
        <f>Table35[[#This Row],[Column3]]</f>
        <v>964</v>
      </c>
      <c r="Q11" s="122"/>
      <c r="R11" s="122"/>
      <c r="S11" s="122"/>
    </row>
    <row r="12" spans="1:19" s="161" customFormat="1" ht="22.5">
      <c r="A12" s="120" t="s">
        <v>95</v>
      </c>
      <c r="B12" s="160"/>
      <c r="C12" s="122">
        <f>1327/2</f>
        <v>663.5</v>
      </c>
      <c r="D12" s="122">
        <f>Table356[[#This Row],[Column3]]</f>
        <v>233.5</v>
      </c>
      <c r="E12" s="122">
        <f>Table35[[#This Row],[Column4]]</f>
        <v>233.5</v>
      </c>
      <c r="F12" s="122">
        <f>Table35[[#This Row],[Column4]]</f>
        <v>233.5</v>
      </c>
      <c r="G12" s="122">
        <f>466/2</f>
        <v>233</v>
      </c>
      <c r="H12" s="122">
        <f>Table35[[#This Row],[Column4]]</f>
        <v>233.5</v>
      </c>
      <c r="I12" s="122"/>
      <c r="J12" s="122">
        <f>Table35[[#This Row],[Column5]]</f>
        <v>233</v>
      </c>
      <c r="K12" s="122">
        <f>771/2</f>
        <v>385.5</v>
      </c>
      <c r="L12" s="122">
        <f>Table35[[#This Row],[Column8]]</f>
        <v>385.5</v>
      </c>
      <c r="M12" s="122">
        <f>721/2</f>
        <v>360.5</v>
      </c>
      <c r="N12" s="122">
        <f>Table35[[#This Row],[Column9]]</f>
        <v>360.5</v>
      </c>
      <c r="O12" s="122">
        <f>Table35[[#This Row],[Column9]]</f>
        <v>360.5</v>
      </c>
      <c r="P12" s="122">
        <f>Table35[[#This Row],[Column5]]</f>
        <v>233</v>
      </c>
      <c r="Q12" s="122"/>
      <c r="R12" s="122"/>
      <c r="S12" s="122"/>
    </row>
    <row r="13" spans="1:19" s="162" customFormat="1" ht="22.5">
      <c r="A13" s="120" t="s">
        <v>96</v>
      </c>
      <c r="B13" s="152"/>
      <c r="C13" s="122">
        <f>2239/2</f>
        <v>1119.5</v>
      </c>
      <c r="D13" s="122">
        <f>Table35[[#This Row],[Column3]]</f>
        <v>1119.5</v>
      </c>
      <c r="E13" s="122">
        <f>Table35[[#This Row],[Column3]]</f>
        <v>1119.5</v>
      </c>
      <c r="F13" s="122">
        <f>Table35[[#This Row],[Column3]]</f>
        <v>1119.5</v>
      </c>
      <c r="G13" s="122">
        <f>Table35[[#This Row],[Column3]]</f>
        <v>1119.5</v>
      </c>
      <c r="H13" s="122">
        <f>Table35[[#This Row],[Column3]]</f>
        <v>1119.5</v>
      </c>
      <c r="I13" s="122">
        <f>Table35[[#This Row],[Column3]]</f>
        <v>1119.5</v>
      </c>
      <c r="J13" s="122">
        <f>Table35[[#This Row],[Column3]]</f>
        <v>1119.5</v>
      </c>
      <c r="K13" s="122">
        <f>Table35[[#This Row],[Column3]]</f>
        <v>1119.5</v>
      </c>
      <c r="L13" s="122">
        <f>Table35[[#This Row],[Column3]]</f>
        <v>1119.5</v>
      </c>
      <c r="M13" s="122">
        <f>Table35[[#This Row],[Column3]]</f>
        <v>1119.5</v>
      </c>
      <c r="N13" s="122">
        <f>Table35[[#This Row],[Column3]]</f>
        <v>1119.5</v>
      </c>
      <c r="O13" s="122">
        <f>Table35[[#This Row],[Column3]]</f>
        <v>1119.5</v>
      </c>
      <c r="P13" s="122">
        <f>Table35[[#This Row],[Column3]]</f>
        <v>1119.5</v>
      </c>
      <c r="Q13" s="122">
        <f>Table35[[#This Row],[Column3]]</f>
        <v>1119.5</v>
      </c>
      <c r="R13" s="122">
        <f>Table35[[#This Row],[Column3]]</f>
        <v>1119.5</v>
      </c>
      <c r="S13" s="122">
        <f>Table35[[#This Row],[Column3]]</f>
        <v>1119.5</v>
      </c>
    </row>
    <row r="14" spans="1:19" s="161" customFormat="1" ht="22.5">
      <c r="A14" s="120" t="s">
        <v>97</v>
      </c>
      <c r="B14" s="163"/>
      <c r="C14" s="122">
        <f>C34</f>
        <v>221</v>
      </c>
      <c r="D14" s="122">
        <f>C34</f>
        <v>221</v>
      </c>
      <c r="E14" s="122">
        <f>C34</f>
        <v>221</v>
      </c>
      <c r="F14" s="122">
        <f>C34</f>
        <v>221</v>
      </c>
      <c r="G14" s="122">
        <f>C34</f>
        <v>221</v>
      </c>
      <c r="H14" s="122">
        <f>C34</f>
        <v>221</v>
      </c>
      <c r="I14" s="122">
        <f>C34</f>
        <v>221</v>
      </c>
      <c r="J14" s="122">
        <f>C34</f>
        <v>221</v>
      </c>
      <c r="K14" s="122">
        <f>C34</f>
        <v>221</v>
      </c>
      <c r="L14" s="122">
        <f>C34</f>
        <v>221</v>
      </c>
      <c r="M14" s="122">
        <f>C34</f>
        <v>221</v>
      </c>
      <c r="N14" s="122">
        <f>C34</f>
        <v>221</v>
      </c>
      <c r="O14" s="122">
        <f>Table35[[#This Row],[Column3]]</f>
        <v>221</v>
      </c>
      <c r="P14" s="122">
        <f>C34</f>
        <v>221</v>
      </c>
      <c r="Q14" s="122">
        <f>C34</f>
        <v>221</v>
      </c>
      <c r="R14" s="122">
        <f>C34</f>
        <v>221</v>
      </c>
      <c r="S14" s="122">
        <f>C34</f>
        <v>221</v>
      </c>
    </row>
    <row r="15" spans="1:19" ht="24.95">
      <c r="A15" s="113" t="s">
        <v>98</v>
      </c>
      <c r="B15" s="164"/>
      <c r="C15" s="165"/>
      <c r="D15" s="165"/>
      <c r="E15" s="165"/>
      <c r="F15" s="165"/>
      <c r="G15" s="165"/>
      <c r="H15" s="165"/>
      <c r="I15" s="165"/>
      <c r="J15" s="165"/>
      <c r="K15" s="165"/>
      <c r="L15" s="165"/>
      <c r="M15" s="165"/>
      <c r="N15" s="165"/>
      <c r="O15" s="165"/>
      <c r="P15" s="165"/>
      <c r="Q15" s="165"/>
      <c r="R15" s="164"/>
      <c r="S15" s="164"/>
    </row>
    <row r="16" spans="1:19" s="161" customFormat="1" ht="22.5">
      <c r="A16" s="120" t="s">
        <v>50</v>
      </c>
      <c r="B16" s="163"/>
      <c r="C16" s="122">
        <v>1005</v>
      </c>
      <c r="D16" s="122">
        <f>Table356[[#This Row],[Column3]]</f>
        <v>929</v>
      </c>
      <c r="E16" s="122">
        <f>Table35[[#This Row],[Column4]]</f>
        <v>929</v>
      </c>
      <c r="F16" s="122">
        <f>Table35[[#This Row],[Column4]]</f>
        <v>929</v>
      </c>
      <c r="G16" s="122">
        <f>Table35[[#This Row],[Column4]]</f>
        <v>929</v>
      </c>
      <c r="H16" s="122">
        <v>1174</v>
      </c>
      <c r="I16" s="122">
        <f>Table35[[#This Row],[Column6]]</f>
        <v>1174</v>
      </c>
      <c r="J16" s="122">
        <v>906</v>
      </c>
      <c r="K16" s="122">
        <v>993</v>
      </c>
      <c r="L16" s="122">
        <v>1010</v>
      </c>
      <c r="M16" s="122">
        <f>Table35[[#This Row],[Column4]]</f>
        <v>929</v>
      </c>
      <c r="N16" s="122">
        <v>1007</v>
      </c>
      <c r="O16" s="122">
        <v>1250</v>
      </c>
      <c r="P16" s="122">
        <v>1105</v>
      </c>
      <c r="Q16" s="122">
        <v>1331</v>
      </c>
      <c r="R16" s="122">
        <f>Table35[[#This Row],[Column11]]</f>
        <v>1331</v>
      </c>
      <c r="S16" s="122">
        <f>Table35[[#This Row],[Column11]]</f>
        <v>1331</v>
      </c>
    </row>
    <row r="17" spans="1:19" s="161" customFormat="1" ht="45">
      <c r="A17" s="120" t="s">
        <v>51</v>
      </c>
      <c r="B17" s="163"/>
      <c r="C17" s="122">
        <v>1606</v>
      </c>
      <c r="D17" s="122">
        <f>Table356[[#This Row],[Column3]]</f>
        <v>1595</v>
      </c>
      <c r="E17" s="122">
        <f>Table35[[#This Row],[Column4]]</f>
        <v>1595</v>
      </c>
      <c r="F17" s="122">
        <f>F16</f>
        <v>929</v>
      </c>
      <c r="G17" s="122">
        <f>Table35[[#This Row],[Column4]]</f>
        <v>1595</v>
      </c>
      <c r="H17" s="122">
        <v>1978</v>
      </c>
      <c r="I17" s="122">
        <f>I16</f>
        <v>1174</v>
      </c>
      <c r="J17" s="122">
        <v>1556</v>
      </c>
      <c r="K17" s="122">
        <v>1973</v>
      </c>
      <c r="L17" s="122">
        <v>1749</v>
      </c>
      <c r="M17" s="122">
        <v>1587</v>
      </c>
      <c r="N17" s="122">
        <v>1720</v>
      </c>
      <c r="O17" s="122">
        <v>1250</v>
      </c>
      <c r="P17" s="122">
        <v>1878</v>
      </c>
      <c r="Q17" s="122">
        <f>Q16</f>
        <v>1331</v>
      </c>
      <c r="R17" s="122">
        <f>Table35[[#This Row],[Column11]]</f>
        <v>1331</v>
      </c>
      <c r="S17" s="122">
        <f>Table35[[#This Row],[Column11]]</f>
        <v>1331</v>
      </c>
    </row>
    <row r="18" spans="1:19" s="161" customFormat="1" ht="22.5">
      <c r="A18" s="120" t="s">
        <v>94</v>
      </c>
      <c r="B18" s="163"/>
      <c r="C18" s="126">
        <f>Table356[[#This Row],[Column3]]</f>
        <v>264.5</v>
      </c>
      <c r="D18" s="126">
        <f>Table35[[#This Row],[Column3]]</f>
        <v>264.5</v>
      </c>
      <c r="E18" s="126">
        <f>Table35[[#This Row],[Column3]]</f>
        <v>264.5</v>
      </c>
      <c r="F18" s="126">
        <f>Table35[[#This Row],[Column3]]</f>
        <v>264.5</v>
      </c>
      <c r="G18" s="126">
        <f>Table35[[#This Row],[Column3]]</f>
        <v>264.5</v>
      </c>
      <c r="H18" s="126">
        <f>Table35[[#This Row],[Column3]]</f>
        <v>264.5</v>
      </c>
      <c r="I18" s="126"/>
      <c r="J18" s="126">
        <f>Table35[[#This Row],[Column3]]</f>
        <v>264.5</v>
      </c>
      <c r="K18" s="126">
        <f>Table35[[#This Row],[Column3]]</f>
        <v>264.5</v>
      </c>
      <c r="L18" s="126">
        <f>Table35[[#This Row],[Column3]]</f>
        <v>264.5</v>
      </c>
      <c r="M18" s="126">
        <f>Table35[[#This Row],[Column3]]</f>
        <v>264.5</v>
      </c>
      <c r="N18" s="126">
        <f>Table35[[#This Row],[Column3]]</f>
        <v>264.5</v>
      </c>
      <c r="O18" s="126">
        <f>Table35[[#This Row],[Column3]]</f>
        <v>264.5</v>
      </c>
      <c r="P18" s="126">
        <f>Table35[[#This Row],[Column3]]</f>
        <v>264.5</v>
      </c>
      <c r="Q18" s="122"/>
      <c r="R18" s="122"/>
      <c r="S18" s="122"/>
    </row>
    <row r="19" spans="1:19" s="161" customFormat="1" ht="22.5">
      <c r="A19" s="120" t="s">
        <v>95</v>
      </c>
      <c r="B19" s="163"/>
      <c r="C19" s="122">
        <f>462/2</f>
        <v>231</v>
      </c>
      <c r="D19" s="122">
        <f>Table356[[#This Row],[Column3]]</f>
        <v>116.5</v>
      </c>
      <c r="E19" s="122">
        <f>Table35[[#This Row],[Column4]]</f>
        <v>116.5</v>
      </c>
      <c r="F19" s="122">
        <f>Table35[[#This Row],[Column4]]</f>
        <v>116.5</v>
      </c>
      <c r="G19" s="122">
        <f>Table35[[#This Row],[Column4]]</f>
        <v>116.5</v>
      </c>
      <c r="H19" s="122">
        <f>Table35[[#This Row],[Column4]]</f>
        <v>116.5</v>
      </c>
      <c r="I19" s="122"/>
      <c r="J19" s="122">
        <f>Table35[[#This Row],[Column4]]</f>
        <v>116.5</v>
      </c>
      <c r="K19" s="122">
        <f>227/2</f>
        <v>113.5</v>
      </c>
      <c r="L19" s="122">
        <f>Table35[[#This Row],[Column8]]</f>
        <v>113.5</v>
      </c>
      <c r="M19" s="122">
        <f>358/2</f>
        <v>179</v>
      </c>
      <c r="N19" s="122">
        <f>Table35[[#This Row],[Column9]]</f>
        <v>179</v>
      </c>
      <c r="O19" s="122">
        <f>Table35[[#This Row],[Column9]]</f>
        <v>179</v>
      </c>
      <c r="P19" s="122">
        <f>Table35[[#This Row],[Column4]]</f>
        <v>116.5</v>
      </c>
      <c r="Q19" s="122"/>
      <c r="R19" s="122"/>
      <c r="S19" s="122"/>
    </row>
    <row r="20" spans="1:19" s="166" customFormat="1" ht="22.5">
      <c r="A20" s="130" t="s">
        <v>96</v>
      </c>
      <c r="B20" s="131"/>
      <c r="C20" s="122">
        <f>659/2</f>
        <v>329.5</v>
      </c>
      <c r="D20" s="122">
        <f>Table35[[#This Row],[Column3]]</f>
        <v>329.5</v>
      </c>
      <c r="E20" s="122">
        <f>Table35[[#This Row],[Column3]]</f>
        <v>329.5</v>
      </c>
      <c r="F20" s="122">
        <f>Table35[[#This Row],[Column3]]</f>
        <v>329.5</v>
      </c>
      <c r="G20" s="122">
        <f>Table35[[#This Row],[Column3]]</f>
        <v>329.5</v>
      </c>
      <c r="H20" s="122">
        <f>Table35[[#This Row],[Column3]]</f>
        <v>329.5</v>
      </c>
      <c r="I20" s="122">
        <f>Table35[[#This Row],[Column3]]</f>
        <v>329.5</v>
      </c>
      <c r="J20" s="122">
        <f>Table35[[#This Row],[Column3]]</f>
        <v>329.5</v>
      </c>
      <c r="K20" s="122">
        <f>Table35[[#This Row],[Column3]]</f>
        <v>329.5</v>
      </c>
      <c r="L20" s="122">
        <f>Table35[[#This Row],[Column3]]</f>
        <v>329.5</v>
      </c>
      <c r="M20" s="122">
        <f>Table35[[#This Row],[Column3]]</f>
        <v>329.5</v>
      </c>
      <c r="N20" s="122">
        <f>Table35[[#This Row],[Column3]]</f>
        <v>329.5</v>
      </c>
      <c r="O20" s="122">
        <f>Table35[[#This Row],[Column3]]</f>
        <v>329.5</v>
      </c>
      <c r="P20" s="122">
        <f>Table35[[#This Row],[Column3]]</f>
        <v>329.5</v>
      </c>
      <c r="Q20" s="122">
        <f>Table35[[#This Row],[Column3]]</f>
        <v>329.5</v>
      </c>
      <c r="R20" s="122">
        <f>Table35[[#This Row],[Column3]]</f>
        <v>329.5</v>
      </c>
      <c r="S20" s="122">
        <f>Table35[[#This Row],[Column3]]</f>
        <v>329.5</v>
      </c>
    </row>
    <row r="21" spans="1:19" s="161" customFormat="1" ht="45">
      <c r="A21" s="120" t="s">
        <v>148</v>
      </c>
      <c r="B21" s="160"/>
      <c r="C21" s="122">
        <v>20</v>
      </c>
      <c r="D21" s="122">
        <v>20</v>
      </c>
      <c r="E21" s="122">
        <v>20</v>
      </c>
      <c r="F21" s="122">
        <v>20</v>
      </c>
      <c r="G21" s="122">
        <v>20</v>
      </c>
      <c r="H21" s="122">
        <v>20</v>
      </c>
      <c r="I21" s="122">
        <v>20</v>
      </c>
      <c r="J21" s="122">
        <v>20</v>
      </c>
      <c r="K21" s="122">
        <v>20</v>
      </c>
      <c r="L21" s="122">
        <v>20</v>
      </c>
      <c r="M21" s="122">
        <v>20</v>
      </c>
      <c r="N21" s="122">
        <v>20</v>
      </c>
      <c r="O21" s="122">
        <v>20</v>
      </c>
      <c r="P21" s="122">
        <v>20</v>
      </c>
      <c r="Q21" s="122">
        <v>20</v>
      </c>
      <c r="R21" s="122">
        <v>20</v>
      </c>
      <c r="S21" s="122">
        <v>20</v>
      </c>
    </row>
    <row r="22" spans="1:19" ht="45">
      <c r="A22" s="120" t="s">
        <v>99</v>
      </c>
      <c r="B22" s="167"/>
      <c r="C22" s="151" t="s">
        <v>100</v>
      </c>
      <c r="D22" s="151" t="s">
        <v>100</v>
      </c>
      <c r="E22" s="151" t="s">
        <v>100</v>
      </c>
      <c r="F22" s="151" t="s">
        <v>100</v>
      </c>
      <c r="G22" s="151" t="s">
        <v>100</v>
      </c>
      <c r="H22" s="151" t="s">
        <v>100</v>
      </c>
      <c r="I22" s="151" t="s">
        <v>100</v>
      </c>
      <c r="J22" s="151" t="s">
        <v>100</v>
      </c>
      <c r="K22" s="151" t="s">
        <v>100</v>
      </c>
      <c r="L22" s="151" t="s">
        <v>100</v>
      </c>
      <c r="M22" s="151" t="s">
        <v>100</v>
      </c>
      <c r="N22" s="151" t="s">
        <v>100</v>
      </c>
      <c r="O22" s="151" t="s">
        <v>100</v>
      </c>
      <c r="P22" s="151" t="s">
        <v>100</v>
      </c>
      <c r="Q22" s="151" t="s">
        <v>100</v>
      </c>
      <c r="R22" s="151" t="s">
        <v>100</v>
      </c>
      <c r="S22" s="151" t="s">
        <v>100</v>
      </c>
    </row>
    <row r="23" spans="1:19" ht="24.95">
      <c r="A23" s="119" t="s">
        <v>101</v>
      </c>
      <c r="B23" s="144" t="s">
        <v>59</v>
      </c>
      <c r="C23" s="145">
        <f t="shared" ref="C23:C32" si="11">C24-7.5</f>
        <v>138.5</v>
      </c>
      <c r="D23" s="168"/>
      <c r="E23" s="168"/>
      <c r="F23" s="168"/>
      <c r="G23" s="168"/>
      <c r="H23" s="168"/>
      <c r="I23" s="168"/>
      <c r="J23" s="168"/>
      <c r="K23" s="168"/>
      <c r="L23" s="168"/>
      <c r="M23" s="168"/>
      <c r="N23" s="168"/>
      <c r="O23" s="168"/>
      <c r="P23" s="168"/>
      <c r="Q23" s="168"/>
      <c r="R23" s="168"/>
      <c r="S23" s="132"/>
    </row>
    <row r="24" spans="1:19" ht="18">
      <c r="A24" s="259"/>
      <c r="B24" s="144">
        <v>2</v>
      </c>
      <c r="C24" s="145">
        <f t="shared" si="11"/>
        <v>146</v>
      </c>
      <c r="D24" s="256"/>
      <c r="E24" s="256"/>
      <c r="F24" s="256"/>
      <c r="G24" s="256"/>
      <c r="H24" s="256"/>
      <c r="I24" s="256"/>
      <c r="J24" s="256"/>
      <c r="K24" s="256"/>
      <c r="L24" s="256"/>
      <c r="M24" s="256"/>
      <c r="N24" s="256"/>
      <c r="O24" s="256"/>
      <c r="P24" s="256"/>
      <c r="Q24" s="256"/>
      <c r="R24" s="256"/>
      <c r="S24" s="169"/>
    </row>
    <row r="25" spans="1:19" ht="18">
      <c r="A25" s="259"/>
      <c r="B25" s="144">
        <v>3</v>
      </c>
      <c r="C25" s="145">
        <f t="shared" si="11"/>
        <v>153.5</v>
      </c>
      <c r="D25" s="134"/>
      <c r="E25" s="134"/>
      <c r="F25" s="134"/>
      <c r="G25" s="134"/>
      <c r="H25" s="134"/>
      <c r="I25" s="134"/>
      <c r="J25" s="134"/>
      <c r="K25" s="134"/>
      <c r="L25" s="134"/>
      <c r="M25" s="134"/>
      <c r="N25" s="134"/>
      <c r="O25" s="134"/>
      <c r="P25" s="134"/>
      <c r="Q25" s="261"/>
      <c r="R25" s="134"/>
      <c r="S25" s="169"/>
    </row>
    <row r="26" spans="1:19" ht="18">
      <c r="A26" s="259"/>
      <c r="B26" s="144">
        <v>4</v>
      </c>
      <c r="C26" s="145">
        <f t="shared" si="11"/>
        <v>161</v>
      </c>
      <c r="D26" s="260"/>
      <c r="E26" s="260"/>
      <c r="F26" s="260"/>
      <c r="G26" s="260"/>
      <c r="H26" s="260"/>
      <c r="I26" s="260"/>
      <c r="J26" s="260"/>
      <c r="K26" s="257"/>
      <c r="L26" s="257"/>
      <c r="M26" s="257"/>
      <c r="N26" s="257"/>
      <c r="O26" s="257"/>
      <c r="P26" s="260"/>
      <c r="Q26" s="260"/>
      <c r="R26" s="260"/>
      <c r="S26" s="169"/>
    </row>
    <row r="27" spans="1:19" ht="18">
      <c r="A27" s="132"/>
      <c r="B27" s="144">
        <v>5</v>
      </c>
      <c r="C27" s="145">
        <f t="shared" si="11"/>
        <v>168.5</v>
      </c>
      <c r="D27" s="135"/>
      <c r="E27" s="135"/>
      <c r="F27" s="135"/>
      <c r="G27" s="136"/>
      <c r="H27" s="137"/>
      <c r="I27" s="137"/>
      <c r="J27" s="137"/>
      <c r="K27" s="137"/>
      <c r="L27" s="137"/>
      <c r="M27" s="137"/>
      <c r="N27" s="137"/>
      <c r="O27" s="137"/>
      <c r="P27" s="137"/>
      <c r="Q27" s="137"/>
      <c r="R27" s="170"/>
      <c r="S27" s="135"/>
    </row>
    <row r="28" spans="1:19" ht="18">
      <c r="A28" s="132"/>
      <c r="B28" s="144">
        <v>6</v>
      </c>
      <c r="C28" s="145">
        <f t="shared" si="11"/>
        <v>176</v>
      </c>
      <c r="D28" s="135"/>
      <c r="E28" s="135"/>
      <c r="F28" s="135"/>
      <c r="G28" s="137"/>
      <c r="H28" s="137"/>
      <c r="I28" s="137"/>
      <c r="J28" s="137"/>
      <c r="K28" s="137"/>
      <c r="L28" s="137"/>
      <c r="M28" s="137"/>
      <c r="N28" s="137"/>
      <c r="O28" s="137"/>
      <c r="P28" s="137"/>
      <c r="Q28" s="137"/>
      <c r="R28" s="170"/>
      <c r="S28" s="135"/>
    </row>
    <row r="29" spans="1:19" ht="20.100000000000001">
      <c r="A29" s="132"/>
      <c r="B29" s="144">
        <v>7</v>
      </c>
      <c r="C29" s="145">
        <f t="shared" si="11"/>
        <v>183.5</v>
      </c>
      <c r="D29" s="139"/>
      <c r="E29" s="139"/>
      <c r="F29" s="139"/>
      <c r="G29" s="140"/>
      <c r="H29" s="137"/>
      <c r="I29" s="137"/>
      <c r="J29" s="137"/>
      <c r="K29" s="137"/>
      <c r="L29" s="137"/>
      <c r="M29" s="137"/>
      <c r="N29" s="137"/>
      <c r="O29" s="137"/>
      <c r="P29" s="137"/>
      <c r="Q29" s="137"/>
      <c r="R29" s="170"/>
      <c r="S29" s="135"/>
    </row>
    <row r="30" spans="1:19" ht="20.100000000000001">
      <c r="A30" s="132"/>
      <c r="B30" s="144">
        <v>8</v>
      </c>
      <c r="C30" s="145">
        <f t="shared" si="11"/>
        <v>191</v>
      </c>
      <c r="D30" s="139"/>
      <c r="E30" s="139"/>
      <c r="F30" s="139"/>
      <c r="G30" s="140"/>
      <c r="H30" s="140"/>
      <c r="I30" s="140"/>
      <c r="J30" s="140"/>
      <c r="K30" s="140"/>
      <c r="L30" s="140"/>
      <c r="M30" s="140"/>
      <c r="N30" s="140"/>
      <c r="O30" s="140"/>
      <c r="P30" s="140"/>
      <c r="Q30" s="140"/>
      <c r="R30" s="171"/>
      <c r="S30" s="142"/>
    </row>
    <row r="31" spans="1:19" ht="20.100000000000001" hidden="1">
      <c r="A31" s="132"/>
      <c r="B31" s="144">
        <v>9</v>
      </c>
      <c r="C31" s="145">
        <f t="shared" si="11"/>
        <v>198.5</v>
      </c>
      <c r="D31" s="139"/>
      <c r="E31" s="139"/>
      <c r="F31" s="139"/>
      <c r="G31" s="140"/>
      <c r="H31" s="140"/>
      <c r="I31" s="140"/>
      <c r="J31" s="140"/>
      <c r="K31" s="140"/>
      <c r="L31" s="140"/>
      <c r="M31" s="140"/>
      <c r="N31" s="140"/>
      <c r="O31" s="140"/>
      <c r="P31" s="140"/>
      <c r="Q31" s="140"/>
      <c r="R31" s="171"/>
      <c r="S31" s="142"/>
    </row>
    <row r="32" spans="1:19" ht="20.100000000000001" hidden="1">
      <c r="A32" s="132"/>
      <c r="B32" s="144">
        <v>10</v>
      </c>
      <c r="C32" s="145">
        <f t="shared" si="11"/>
        <v>206</v>
      </c>
      <c r="D32" s="139"/>
      <c r="E32" s="139"/>
      <c r="F32" s="139"/>
      <c r="G32" s="140"/>
      <c r="H32" s="140"/>
      <c r="I32" s="140"/>
      <c r="J32" s="140"/>
      <c r="K32" s="140"/>
      <c r="L32" s="140"/>
      <c r="M32" s="140"/>
      <c r="N32" s="140"/>
      <c r="O32" s="140"/>
      <c r="P32" s="140"/>
      <c r="Q32" s="140"/>
      <c r="R32" s="171"/>
      <c r="S32" s="142"/>
    </row>
    <row r="33" spans="1:19" ht="20.100000000000001" hidden="1">
      <c r="A33" s="132"/>
      <c r="B33" s="144">
        <v>11</v>
      </c>
      <c r="C33" s="145">
        <f>C34-7.5</f>
        <v>213.5</v>
      </c>
      <c r="D33" s="139"/>
      <c r="E33" s="139"/>
      <c r="F33" s="139"/>
      <c r="G33" s="140"/>
      <c r="H33" s="140"/>
      <c r="I33" s="140"/>
      <c r="J33" s="140"/>
      <c r="K33" s="140"/>
      <c r="L33" s="140"/>
      <c r="M33" s="140"/>
      <c r="N33" s="140"/>
      <c r="O33" s="140"/>
      <c r="P33" s="140"/>
      <c r="Q33" s="140"/>
      <c r="R33" s="171"/>
      <c r="S33" s="142"/>
    </row>
    <row r="34" spans="1:19" ht="24.95">
      <c r="A34" s="133"/>
      <c r="B34" s="144" t="s">
        <v>66</v>
      </c>
      <c r="C34" s="145">
        <f>'New Brunswick Undergraduate'!C32</f>
        <v>221</v>
      </c>
      <c r="D34" s="139"/>
      <c r="E34" s="139"/>
      <c r="F34" s="139"/>
      <c r="G34" s="140"/>
      <c r="H34" s="140"/>
      <c r="I34" s="140"/>
      <c r="J34" s="140"/>
      <c r="K34" s="140"/>
      <c r="L34" s="140"/>
      <c r="M34" s="140"/>
      <c r="N34" s="140"/>
      <c r="O34" s="140"/>
      <c r="P34" s="140"/>
      <c r="Q34" s="140"/>
      <c r="R34" s="171"/>
      <c r="S34" s="142"/>
    </row>
    <row r="35" spans="1:19">
      <c r="L35" s="153"/>
    </row>
    <row r="36" spans="1:19">
      <c r="L36" s="153"/>
    </row>
    <row r="37" spans="1:19" ht="15.6">
      <c r="A37" s="281" t="s">
        <v>149</v>
      </c>
      <c r="B37" s="282"/>
      <c r="C37" s="282"/>
      <c r="D37" s="282"/>
      <c r="E37" s="282"/>
      <c r="F37" s="282"/>
      <c r="G37" s="282"/>
      <c r="H37" s="282"/>
      <c r="I37" s="282"/>
      <c r="J37" s="282"/>
      <c r="K37" s="282"/>
      <c r="L37" s="282"/>
      <c r="M37" s="250"/>
    </row>
    <row r="38" spans="1:19" ht="15.6">
      <c r="A38" s="279" t="s">
        <v>150</v>
      </c>
      <c r="B38" s="280"/>
      <c r="C38" s="280"/>
      <c r="D38" s="280"/>
      <c r="E38" s="280"/>
      <c r="F38" s="280"/>
      <c r="G38" s="280"/>
      <c r="H38" s="280"/>
      <c r="I38" s="280"/>
      <c r="J38" s="280"/>
      <c r="K38" s="280"/>
      <c r="L38" s="280"/>
      <c r="M38" s="251"/>
    </row>
    <row r="39" spans="1:19" ht="15.6">
      <c r="A39" s="279" t="s">
        <v>151</v>
      </c>
      <c r="B39" s="280"/>
      <c r="C39" s="280"/>
      <c r="D39" s="280"/>
      <c r="E39" s="280"/>
      <c r="F39" s="280"/>
      <c r="G39" s="280"/>
      <c r="H39" s="280"/>
      <c r="I39" s="280"/>
      <c r="J39" s="280"/>
      <c r="K39" s="280"/>
      <c r="L39" s="280"/>
      <c r="M39" s="251"/>
    </row>
    <row r="40" spans="1:19" ht="15.6">
      <c r="A40" s="279" t="s">
        <v>152</v>
      </c>
      <c r="B40" s="280"/>
      <c r="C40" s="280"/>
      <c r="D40" s="280"/>
      <c r="E40" s="280"/>
      <c r="F40" s="280"/>
      <c r="G40" s="280"/>
      <c r="H40" s="280"/>
      <c r="I40" s="280"/>
      <c r="J40" s="280"/>
      <c r="K40" s="280"/>
      <c r="L40" s="280"/>
      <c r="M40" s="251"/>
    </row>
    <row r="41" spans="1:19" ht="15.6">
      <c r="A41" s="279" t="s">
        <v>153</v>
      </c>
      <c r="B41" s="280"/>
      <c r="C41" s="280"/>
      <c r="D41" s="280"/>
      <c r="E41" s="280"/>
      <c r="F41" s="280"/>
      <c r="G41" s="280"/>
      <c r="H41" s="280"/>
      <c r="I41" s="280"/>
      <c r="J41" s="280"/>
      <c r="K41" s="280"/>
      <c r="L41" s="280"/>
      <c r="M41" s="251"/>
    </row>
    <row r="42" spans="1:19" ht="18" customHeight="1">
      <c r="A42" s="279" t="s">
        <v>105</v>
      </c>
      <c r="B42" s="280"/>
      <c r="C42" s="280"/>
      <c r="D42" s="280"/>
      <c r="E42" s="280"/>
      <c r="F42" s="280"/>
      <c r="G42" s="280"/>
      <c r="H42" s="280"/>
      <c r="I42" s="280"/>
      <c r="J42" s="280"/>
      <c r="K42" s="280"/>
      <c r="L42" s="280"/>
      <c r="M42" s="251"/>
    </row>
    <row r="43" spans="1:19" ht="15.75" customHeight="1">
      <c r="A43" s="265" t="s">
        <v>154</v>
      </c>
      <c r="B43" s="266"/>
      <c r="C43" s="266"/>
      <c r="D43" s="266"/>
      <c r="E43" s="266"/>
      <c r="F43" s="266"/>
      <c r="G43" s="266"/>
      <c r="H43" s="266"/>
      <c r="I43" s="266"/>
      <c r="J43" s="266"/>
      <c r="K43" s="266"/>
      <c r="L43" s="266"/>
      <c r="M43" s="269"/>
    </row>
    <row r="44" spans="1:19" ht="15.75" customHeight="1">
      <c r="A44" s="265" t="s">
        <v>107</v>
      </c>
      <c r="B44" s="266"/>
      <c r="C44" s="266"/>
      <c r="D44" s="266"/>
      <c r="E44" s="266"/>
      <c r="F44" s="266"/>
      <c r="G44" s="266"/>
      <c r="H44" s="266"/>
      <c r="I44" s="266"/>
      <c r="J44" s="266"/>
      <c r="K44" s="266"/>
      <c r="L44" s="266"/>
      <c r="M44" s="251"/>
    </row>
    <row r="45" spans="1:19" ht="18" customHeight="1">
      <c r="A45" s="244" t="s">
        <v>108</v>
      </c>
      <c r="B45" s="245"/>
      <c r="C45" s="245"/>
      <c r="D45" s="245"/>
      <c r="E45" s="245"/>
      <c r="F45" s="245"/>
      <c r="G45" s="245"/>
      <c r="H45" s="245"/>
      <c r="I45" s="245"/>
      <c r="J45" s="245"/>
      <c r="K45" s="245"/>
      <c r="L45" s="245"/>
      <c r="M45" s="248"/>
    </row>
    <row r="46" spans="1:19">
      <c r="L46" s="153"/>
    </row>
    <row r="47" spans="1:19">
      <c r="L47" s="153"/>
    </row>
    <row r="48" spans="1:19">
      <c r="L48" s="153"/>
    </row>
    <row r="49" s="153" customFormat="1"/>
    <row r="50" s="153" customFormat="1"/>
    <row r="51" s="153" customFormat="1"/>
    <row r="52" s="153" customFormat="1"/>
    <row r="53" s="153" customFormat="1"/>
    <row r="54" s="153" customFormat="1"/>
    <row r="55" s="153" customFormat="1"/>
    <row r="56" s="153" customFormat="1"/>
    <row r="57" s="153" customFormat="1"/>
    <row r="58" s="153" customFormat="1"/>
    <row r="59" s="153" customFormat="1"/>
    <row r="60" s="153" customFormat="1"/>
    <row r="61" s="153" customFormat="1"/>
    <row r="62" s="153" customFormat="1"/>
    <row r="63" s="153" customFormat="1"/>
    <row r="64" s="153" customFormat="1"/>
    <row r="65" s="153" customFormat="1"/>
    <row r="66" s="153" customFormat="1"/>
  </sheetData>
  <mergeCells count="7">
    <mergeCell ref="A40:L40"/>
    <mergeCell ref="A41:L41"/>
    <mergeCell ref="A42:L42"/>
    <mergeCell ref="A1:S1"/>
    <mergeCell ref="A37:L37"/>
    <mergeCell ref="A38:L38"/>
    <mergeCell ref="A39:L39"/>
  </mergeCells>
  <phoneticPr fontId="44" type="noConversion"/>
  <pageMargins left="0.7" right="0.7" top="0.75" bottom="0.75" header="0.3" footer="0.3"/>
  <pageSetup scale="27" fitToHeight="0"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P45"/>
  <sheetViews>
    <sheetView showGridLines="0" tabSelected="1" topLeftCell="A16" zoomScale="65" zoomScaleNormal="65" workbookViewId="0">
      <selection activeCell="B21" sqref="B21"/>
    </sheetView>
  </sheetViews>
  <sheetFormatPr defaultColWidth="9.140625" defaultRowHeight="14.1"/>
  <cols>
    <col min="1" max="1" width="57" style="153" customWidth="1"/>
    <col min="2" max="2" width="13" style="153" bestFit="1" customWidth="1"/>
    <col min="3" max="3" width="18.28515625" style="153" bestFit="1" customWidth="1"/>
    <col min="4" max="4" width="19" style="153" bestFit="1" customWidth="1"/>
    <col min="5" max="5" width="19" style="153" customWidth="1"/>
    <col min="6" max="6" width="23" style="153" bestFit="1" customWidth="1"/>
    <col min="7" max="7" width="25.5703125" style="153" bestFit="1" customWidth="1"/>
    <col min="8" max="8" width="20.5703125" style="153" bestFit="1" customWidth="1"/>
    <col min="9" max="9" width="20.5703125" style="153" customWidth="1"/>
    <col min="10" max="11" width="17.42578125" style="153" bestFit="1" customWidth="1"/>
    <col min="12" max="13" width="17.42578125" style="153" customWidth="1"/>
    <col min="14" max="14" width="19" style="153" bestFit="1" customWidth="1"/>
    <col min="15" max="16" width="25.42578125" style="153" customWidth="1"/>
    <col min="17" max="16384" width="9.140625" style="153"/>
  </cols>
  <sheetData>
    <row r="1" spans="1:16" ht="18" hidden="1">
      <c r="A1" s="284"/>
      <c r="B1" s="284"/>
      <c r="C1" s="284"/>
      <c r="D1" s="284"/>
      <c r="E1" s="284"/>
      <c r="F1" s="284"/>
      <c r="G1" s="284"/>
      <c r="H1" s="284"/>
      <c r="I1" s="284"/>
      <c r="J1" s="284"/>
      <c r="K1" s="284"/>
      <c r="L1" s="284"/>
      <c r="M1" s="284"/>
      <c r="N1" s="284"/>
      <c r="O1" s="284"/>
      <c r="P1" s="284"/>
    </row>
    <row r="2" spans="1:16" ht="18">
      <c r="A2" s="243" t="s">
        <v>79</v>
      </c>
      <c r="B2" s="246"/>
      <c r="C2" s="95">
        <v>16</v>
      </c>
      <c r="D2" s="95">
        <v>16</v>
      </c>
      <c r="E2" s="95">
        <v>16</v>
      </c>
      <c r="F2" s="96">
        <v>16</v>
      </c>
      <c r="G2" s="96">
        <v>16</v>
      </c>
      <c r="H2" s="96">
        <v>16</v>
      </c>
      <c r="I2" s="96">
        <v>16</v>
      </c>
      <c r="J2" s="96">
        <v>16</v>
      </c>
      <c r="K2" s="96">
        <v>16</v>
      </c>
      <c r="L2" s="96">
        <v>16</v>
      </c>
      <c r="M2" s="96">
        <v>16</v>
      </c>
      <c r="N2" s="104">
        <v>16</v>
      </c>
      <c r="O2" s="96">
        <v>16</v>
      </c>
      <c r="P2" s="96">
        <v>16</v>
      </c>
    </row>
    <row r="3" spans="1:16" ht="18">
      <c r="A3" s="243" t="s">
        <v>80</v>
      </c>
      <c r="B3" s="246"/>
      <c r="C3" s="97" t="s">
        <v>114</v>
      </c>
      <c r="D3" s="105" t="s">
        <v>155</v>
      </c>
      <c r="E3" s="105" t="s">
        <v>156</v>
      </c>
      <c r="F3" s="97" t="s">
        <v>155</v>
      </c>
      <c r="G3" s="97" t="s">
        <v>155</v>
      </c>
      <c r="H3" s="105" t="s">
        <v>157</v>
      </c>
      <c r="I3" s="97" t="s">
        <v>155</v>
      </c>
      <c r="J3" s="105" t="s">
        <v>157</v>
      </c>
      <c r="K3" s="105" t="s">
        <v>157</v>
      </c>
      <c r="L3" s="105" t="s">
        <v>157</v>
      </c>
      <c r="M3" s="105" t="s">
        <v>157</v>
      </c>
      <c r="N3" s="263" t="s">
        <v>109</v>
      </c>
      <c r="O3" s="97" t="s">
        <v>109</v>
      </c>
      <c r="P3" s="97" t="s">
        <v>114</v>
      </c>
    </row>
    <row r="4" spans="1:16" ht="36">
      <c r="A4" s="243" t="s">
        <v>112</v>
      </c>
      <c r="B4" s="246"/>
      <c r="C4" s="97" t="s">
        <v>158</v>
      </c>
      <c r="D4" s="97" t="s">
        <v>159</v>
      </c>
      <c r="E4" s="97" t="s">
        <v>160</v>
      </c>
      <c r="F4" s="97" t="s">
        <v>161</v>
      </c>
      <c r="G4" s="97" t="s">
        <v>162</v>
      </c>
      <c r="H4" s="97" t="s">
        <v>163</v>
      </c>
      <c r="I4" s="97" t="s">
        <v>164</v>
      </c>
      <c r="J4" s="97" t="s">
        <v>165</v>
      </c>
      <c r="K4" s="97" t="s">
        <v>165</v>
      </c>
      <c r="L4" s="97" t="s">
        <v>166</v>
      </c>
      <c r="M4" s="97" t="s">
        <v>167</v>
      </c>
      <c r="N4" s="263" t="s">
        <v>168</v>
      </c>
      <c r="O4" s="97" t="s">
        <v>114</v>
      </c>
      <c r="P4" s="97" t="s">
        <v>158</v>
      </c>
    </row>
    <row r="5" spans="1:16" ht="36">
      <c r="A5" s="246"/>
      <c r="B5" s="246"/>
      <c r="C5" s="100" t="s">
        <v>169</v>
      </c>
      <c r="D5" s="100" t="s">
        <v>170</v>
      </c>
      <c r="E5" s="100" t="s">
        <v>171</v>
      </c>
      <c r="F5" s="100" t="s">
        <v>172</v>
      </c>
      <c r="G5" s="100" t="s">
        <v>173</v>
      </c>
      <c r="H5" s="100" t="s">
        <v>174</v>
      </c>
      <c r="I5" s="100" t="s">
        <v>175</v>
      </c>
      <c r="J5" s="100" t="s">
        <v>176</v>
      </c>
      <c r="K5" s="100" t="s">
        <v>176</v>
      </c>
      <c r="L5" s="100" t="s">
        <v>177</v>
      </c>
      <c r="M5" s="100" t="s">
        <v>177</v>
      </c>
      <c r="N5" s="263" t="s">
        <v>138</v>
      </c>
      <c r="O5" s="97" t="s">
        <v>178</v>
      </c>
      <c r="P5" s="100" t="s">
        <v>179</v>
      </c>
    </row>
    <row r="6" spans="1:16" ht="15.6">
      <c r="A6" s="246"/>
      <c r="B6" s="246"/>
      <c r="C6" s="156"/>
      <c r="D6" s="156"/>
      <c r="E6" s="99"/>
      <c r="F6" s="156"/>
      <c r="G6" s="156"/>
      <c r="H6" s="156"/>
      <c r="I6" s="179"/>
      <c r="J6" s="99"/>
      <c r="K6" s="99" t="s">
        <v>180</v>
      </c>
      <c r="L6" s="99"/>
      <c r="M6" s="99"/>
      <c r="N6" s="180"/>
      <c r="O6" s="179"/>
      <c r="P6" s="179"/>
    </row>
    <row r="7" spans="1:16" ht="29.1" hidden="1" customHeight="1">
      <c r="A7" s="7" t="s">
        <v>21</v>
      </c>
      <c r="B7" s="156" t="s">
        <v>22</v>
      </c>
      <c r="C7" s="156" t="s">
        <v>23</v>
      </c>
      <c r="D7" s="156" t="s">
        <v>24</v>
      </c>
      <c r="E7" s="156" t="s">
        <v>29</v>
      </c>
      <c r="F7" s="156" t="s">
        <v>25</v>
      </c>
      <c r="G7" s="156" t="s">
        <v>26</v>
      </c>
      <c r="H7" s="156" t="s">
        <v>27</v>
      </c>
      <c r="I7" s="156" t="s">
        <v>181</v>
      </c>
      <c r="J7" s="156" t="s">
        <v>28</v>
      </c>
      <c r="K7" s="156" t="s">
        <v>182</v>
      </c>
      <c r="L7" s="156" t="s">
        <v>183</v>
      </c>
      <c r="M7" s="156" t="s">
        <v>184</v>
      </c>
      <c r="N7" s="181" t="s">
        <v>185</v>
      </c>
      <c r="O7" s="156" t="s">
        <v>142</v>
      </c>
      <c r="P7" s="156" t="s">
        <v>186</v>
      </c>
    </row>
    <row r="8" spans="1:16" ht="24.95">
      <c r="A8" s="113" t="s">
        <v>93</v>
      </c>
      <c r="B8" s="159"/>
      <c r="C8" s="159"/>
      <c r="D8" s="159"/>
      <c r="E8" s="159"/>
      <c r="F8" s="159"/>
      <c r="G8" s="159"/>
      <c r="H8" s="159"/>
      <c r="I8" s="159"/>
      <c r="J8" s="159"/>
      <c r="K8" s="159"/>
      <c r="L8" s="159"/>
      <c r="M8" s="159"/>
      <c r="N8" s="159"/>
      <c r="O8" s="159"/>
      <c r="P8" s="159"/>
    </row>
    <row r="9" spans="1:16" s="161" customFormat="1" ht="43.5">
      <c r="A9" s="120" t="s">
        <v>146</v>
      </c>
      <c r="B9" s="160"/>
      <c r="C9" s="122">
        <f t="shared" ref="C9:E10" si="0">C16*12</f>
        <v>11148</v>
      </c>
      <c r="D9" s="122">
        <f t="shared" si="0"/>
        <v>10800</v>
      </c>
      <c r="E9" s="122">
        <f t="shared" si="0"/>
        <v>10800</v>
      </c>
      <c r="F9" s="122">
        <f t="shared" ref="F9:J10" si="1">F16*12</f>
        <v>15600</v>
      </c>
      <c r="G9" s="122">
        <f t="shared" si="1"/>
        <v>15600</v>
      </c>
      <c r="H9" s="122">
        <f t="shared" si="1"/>
        <v>15600</v>
      </c>
      <c r="I9" s="122">
        <f>I16*12</f>
        <v>15600</v>
      </c>
      <c r="J9" s="122">
        <f t="shared" si="1"/>
        <v>11616</v>
      </c>
      <c r="K9" s="122">
        <f t="shared" ref="K9" si="2">K16*12</f>
        <v>11820</v>
      </c>
      <c r="L9" s="122">
        <f t="shared" ref="L9" si="3">L16*12</f>
        <v>13584</v>
      </c>
      <c r="M9" s="122">
        <f>Table356[[#This Row],[Column84]]</f>
        <v>13584</v>
      </c>
      <c r="N9" s="175">
        <f>N16*12</f>
        <v>14040</v>
      </c>
      <c r="O9" s="122">
        <f t="shared" ref="O9:P10" si="4">O16*12</f>
        <v>12120</v>
      </c>
      <c r="P9" s="122">
        <f t="shared" si="4"/>
        <v>12444</v>
      </c>
    </row>
    <row r="10" spans="1:16" s="161" customFormat="1" ht="41.1">
      <c r="A10" s="120" t="s">
        <v>147</v>
      </c>
      <c r="B10" s="160"/>
      <c r="C10" s="122">
        <f t="shared" si="0"/>
        <v>19140</v>
      </c>
      <c r="D10" s="122">
        <f t="shared" si="0"/>
        <v>19140</v>
      </c>
      <c r="E10" s="122">
        <f t="shared" si="0"/>
        <v>10800</v>
      </c>
      <c r="F10" s="122">
        <f t="shared" si="1"/>
        <v>26784</v>
      </c>
      <c r="G10" s="122">
        <f t="shared" si="1"/>
        <v>26784</v>
      </c>
      <c r="H10" s="122">
        <f t="shared" si="1"/>
        <v>26784</v>
      </c>
      <c r="I10" s="122">
        <f>I17*12</f>
        <v>26784</v>
      </c>
      <c r="J10" s="122">
        <f t="shared" si="1"/>
        <v>19956</v>
      </c>
      <c r="K10" s="122">
        <f t="shared" ref="K10" si="5">K17*12</f>
        <v>20364</v>
      </c>
      <c r="L10" s="122">
        <f t="shared" ref="L10" si="6">L17*12</f>
        <v>13584</v>
      </c>
      <c r="M10" s="122">
        <f>Table356[[#This Row],[Column84]]</f>
        <v>13584</v>
      </c>
      <c r="N10" s="175">
        <f>N17*12</f>
        <v>20748</v>
      </c>
      <c r="O10" s="122">
        <f t="shared" si="4"/>
        <v>20988</v>
      </c>
      <c r="P10" s="122">
        <f t="shared" si="4"/>
        <v>19140</v>
      </c>
    </row>
    <row r="11" spans="1:16" s="161" customFormat="1" ht="22.5">
      <c r="A11" s="120" t="s">
        <v>94</v>
      </c>
      <c r="B11" s="160"/>
      <c r="C11" s="122">
        <f>1928/2</f>
        <v>964</v>
      </c>
      <c r="D11" s="122">
        <f>Table356[[#This Row],[Column3]]</f>
        <v>964</v>
      </c>
      <c r="E11" s="122"/>
      <c r="F11" s="122">
        <f>Table356[[#This Row],[Column3]]</f>
        <v>964</v>
      </c>
      <c r="G11" s="122">
        <f>Table356[[#This Row],[Column3]]</f>
        <v>964</v>
      </c>
      <c r="H11" s="122">
        <f>Table356[[#This Row],[Column3]]</f>
        <v>964</v>
      </c>
      <c r="I11" s="122">
        <f>Table356[[#This Row],[Column3]]</f>
        <v>964</v>
      </c>
      <c r="J11" s="122">
        <f>Table356[[#This Row],[Column3]]</f>
        <v>964</v>
      </c>
      <c r="K11" s="122">
        <f>Table356[[#This Row],[Column3]]</f>
        <v>964</v>
      </c>
      <c r="L11" s="122"/>
      <c r="M11" s="122"/>
      <c r="N11" s="122">
        <f>Table356[[#This Row],[Column3]]</f>
        <v>964</v>
      </c>
      <c r="O11" s="122">
        <f>Table356[[#This Row],[Column3]]</f>
        <v>964</v>
      </c>
      <c r="P11" s="122">
        <f>Table356[[#This Row],[Column3]]</f>
        <v>964</v>
      </c>
    </row>
    <row r="12" spans="1:16" s="161" customFormat="1" ht="22.5">
      <c r="A12" s="120" t="s">
        <v>95</v>
      </c>
      <c r="B12" s="160"/>
      <c r="C12" s="122">
        <f>467/2</f>
        <v>233.5</v>
      </c>
      <c r="D12" s="122">
        <f>Table356[[#This Row],[Column3]]</f>
        <v>233.5</v>
      </c>
      <c r="E12" s="122"/>
      <c r="F12" s="122">
        <f>Table356[[#This Row],[Column3]]</f>
        <v>233.5</v>
      </c>
      <c r="G12" s="122">
        <f>Table356[[#This Row],[Column3]]</f>
        <v>233.5</v>
      </c>
      <c r="H12" s="122">
        <f>Table356[[#This Row],[Column3]]</f>
        <v>233.5</v>
      </c>
      <c r="I12" s="122">
        <f>Table356[[#This Row],[Column3]]</f>
        <v>233.5</v>
      </c>
      <c r="J12" s="122">
        <f>Table356[[#This Row],[Column3]]</f>
        <v>233.5</v>
      </c>
      <c r="K12" s="122">
        <f>Table356[[#This Row],[Column3]]</f>
        <v>233.5</v>
      </c>
      <c r="L12" s="122"/>
      <c r="M12" s="122"/>
      <c r="N12" s="122">
        <f>Table356[[#This Row],[Column3]]</f>
        <v>233.5</v>
      </c>
      <c r="O12" s="122">
        <f>Table356[[#This Row],[Column3]]</f>
        <v>233.5</v>
      </c>
      <c r="P12" s="122">
        <f>Table356[[#This Row],[Column3]]</f>
        <v>233.5</v>
      </c>
    </row>
    <row r="13" spans="1:16" s="162" customFormat="1" ht="22.5">
      <c r="A13" s="120" t="s">
        <v>96</v>
      </c>
      <c r="B13" s="128"/>
      <c r="C13" s="122">
        <f>Table35[[#This Row],[Column3]]</f>
        <v>1119.5</v>
      </c>
      <c r="D13" s="122">
        <f>Table356[[#This Row],[Column3]]</f>
        <v>1119.5</v>
      </c>
      <c r="E13" s="122">
        <f>Table356[[#This Row],[Column3]]</f>
        <v>1119.5</v>
      </c>
      <c r="F13" s="122">
        <f>Table356[[#This Row],[Column3]]</f>
        <v>1119.5</v>
      </c>
      <c r="G13" s="122">
        <f>Table356[[#This Row],[Column3]]</f>
        <v>1119.5</v>
      </c>
      <c r="H13" s="122">
        <f>Table356[[#This Row],[Column3]]</f>
        <v>1119.5</v>
      </c>
      <c r="I13" s="122">
        <f>Table356[[#This Row],[Column3]]</f>
        <v>1119.5</v>
      </c>
      <c r="J13" s="122">
        <f>Table356[[#This Row],[Column3]]</f>
        <v>1119.5</v>
      </c>
      <c r="K13" s="122">
        <f>Table356[[#This Row],[Column3]]</f>
        <v>1119.5</v>
      </c>
      <c r="L13" s="122">
        <f>Table356[[#This Row],[Column3]]</f>
        <v>1119.5</v>
      </c>
      <c r="M13" s="122">
        <f>Table356[[#This Row],[Column3]]</f>
        <v>1119.5</v>
      </c>
      <c r="N13" s="122">
        <f>Table356[[#This Row],[Column3]]</f>
        <v>1119.5</v>
      </c>
      <c r="O13" s="122">
        <f>Table356[[#This Row],[Column3]]</f>
        <v>1119.5</v>
      </c>
      <c r="P13" s="122">
        <f>Table356[[#This Row],[Column3]]</f>
        <v>1119.5</v>
      </c>
    </row>
    <row r="14" spans="1:16" s="161" customFormat="1" ht="22.5">
      <c r="A14" s="120" t="s">
        <v>97</v>
      </c>
      <c r="B14" s="163"/>
      <c r="C14" s="122">
        <f>C34</f>
        <v>221</v>
      </c>
      <c r="D14" s="122">
        <f>C34</f>
        <v>221</v>
      </c>
      <c r="E14" s="122">
        <f>C34</f>
        <v>221</v>
      </c>
      <c r="F14" s="122">
        <f>C34</f>
        <v>221</v>
      </c>
      <c r="G14" s="122">
        <f>C34</f>
        <v>221</v>
      </c>
      <c r="H14" s="122">
        <f>C34</f>
        <v>221</v>
      </c>
      <c r="I14" s="122">
        <f>Table356[[#This Row],[Column3]]</f>
        <v>221</v>
      </c>
      <c r="J14" s="122">
        <f>C34</f>
        <v>221</v>
      </c>
      <c r="K14" s="122">
        <f>C34</f>
        <v>221</v>
      </c>
      <c r="L14" s="122">
        <f>C34</f>
        <v>221</v>
      </c>
      <c r="M14" s="122">
        <f>C34</f>
        <v>221</v>
      </c>
      <c r="N14" s="175">
        <f>C34</f>
        <v>221</v>
      </c>
      <c r="O14" s="122">
        <f>C34</f>
        <v>221</v>
      </c>
      <c r="P14" s="122">
        <f>Table356[[#This Row],[Column82]]</f>
        <v>221</v>
      </c>
    </row>
    <row r="15" spans="1:16" ht="24.95">
      <c r="A15" s="113" t="s">
        <v>98</v>
      </c>
      <c r="B15" s="164"/>
      <c r="C15" s="165"/>
      <c r="D15" s="165"/>
      <c r="E15" s="165"/>
      <c r="F15" s="165"/>
      <c r="G15" s="165"/>
      <c r="H15" s="165"/>
      <c r="I15" s="165"/>
      <c r="J15" s="165"/>
      <c r="K15" s="165"/>
      <c r="L15" s="165"/>
      <c r="M15" s="165"/>
      <c r="N15" s="165"/>
      <c r="O15" s="165"/>
      <c r="P15" s="165"/>
    </row>
    <row r="16" spans="1:16" s="161" customFormat="1" ht="22.5">
      <c r="A16" s="120" t="s">
        <v>50</v>
      </c>
      <c r="B16" s="163"/>
      <c r="C16" s="122">
        <v>929</v>
      </c>
      <c r="D16" s="122">
        <v>900</v>
      </c>
      <c r="E16" s="122">
        <v>900</v>
      </c>
      <c r="F16" s="122">
        <v>1300</v>
      </c>
      <c r="G16" s="122">
        <f>Table356[[#This Row],[Column5]]</f>
        <v>1300</v>
      </c>
      <c r="H16" s="122">
        <f>Table356[[#This Row],[Column5]]</f>
        <v>1300</v>
      </c>
      <c r="I16" s="122">
        <v>1300</v>
      </c>
      <c r="J16" s="122">
        <v>968</v>
      </c>
      <c r="K16" s="122">
        <v>985</v>
      </c>
      <c r="L16" s="122">
        <v>1132</v>
      </c>
      <c r="M16" s="122">
        <f>Table356[[#This Row],[Column84]]</f>
        <v>1132</v>
      </c>
      <c r="N16" s="175">
        <v>1170</v>
      </c>
      <c r="O16" s="122">
        <v>1010</v>
      </c>
      <c r="P16" s="122">
        <v>1037</v>
      </c>
    </row>
    <row r="17" spans="1:16" s="161" customFormat="1" ht="45">
      <c r="A17" s="120" t="s">
        <v>51</v>
      </c>
      <c r="B17" s="163"/>
      <c r="C17" s="122">
        <v>1595</v>
      </c>
      <c r="D17" s="122">
        <f>Table356[[#This Row],[Column3]]</f>
        <v>1595</v>
      </c>
      <c r="E17" s="122">
        <f>E16</f>
        <v>900</v>
      </c>
      <c r="F17" s="122">
        <v>2232</v>
      </c>
      <c r="G17" s="122">
        <f>Table356[[#This Row],[Column5]]</f>
        <v>2232</v>
      </c>
      <c r="H17" s="122">
        <f>Table356[[#This Row],[Column5]]</f>
        <v>2232</v>
      </c>
      <c r="I17" s="122">
        <v>2232</v>
      </c>
      <c r="J17" s="122">
        <v>1663</v>
      </c>
      <c r="K17" s="122">
        <v>1697</v>
      </c>
      <c r="L17" s="122">
        <f>L16</f>
        <v>1132</v>
      </c>
      <c r="M17" s="122">
        <f>M16</f>
        <v>1132</v>
      </c>
      <c r="N17" s="175">
        <v>1729</v>
      </c>
      <c r="O17" s="122">
        <v>1749</v>
      </c>
      <c r="P17" s="122">
        <v>1595</v>
      </c>
    </row>
    <row r="18" spans="1:16" s="161" customFormat="1" ht="22.5">
      <c r="A18" s="120" t="s">
        <v>94</v>
      </c>
      <c r="B18" s="163"/>
      <c r="C18" s="122">
        <f>529/2</f>
        <v>264.5</v>
      </c>
      <c r="D18" s="122">
        <f>Table356[[#This Row],[Column3]]</f>
        <v>264.5</v>
      </c>
      <c r="E18" s="122"/>
      <c r="F18" s="122">
        <f>Table356[[#This Row],[Column3]]</f>
        <v>264.5</v>
      </c>
      <c r="G18" s="122">
        <f>Table356[[#This Row],[Column3]]</f>
        <v>264.5</v>
      </c>
      <c r="H18" s="122">
        <f>Table356[[#This Row],[Column3]]</f>
        <v>264.5</v>
      </c>
      <c r="I18" s="122">
        <f>Table356[[#This Row],[Column3]]</f>
        <v>264.5</v>
      </c>
      <c r="J18" s="122">
        <f>Table356[[#This Row],[Column3]]</f>
        <v>264.5</v>
      </c>
      <c r="K18" s="122">
        <f>Table356[[#This Row],[Column3]]</f>
        <v>264.5</v>
      </c>
      <c r="L18" s="122"/>
      <c r="M18" s="122"/>
      <c r="N18" s="122">
        <f>Table356[[#This Row],[Column3]]</f>
        <v>264.5</v>
      </c>
      <c r="O18" s="122">
        <f>Table356[[#This Row],[Column3]]</f>
        <v>264.5</v>
      </c>
      <c r="P18" s="122">
        <f>Table356[[#This Row],[Column3]]</f>
        <v>264.5</v>
      </c>
    </row>
    <row r="19" spans="1:16" s="161" customFormat="1" ht="22.5">
      <c r="A19" s="120" t="s">
        <v>95</v>
      </c>
      <c r="B19" s="163"/>
      <c r="C19" s="122">
        <f>233/2</f>
        <v>116.5</v>
      </c>
      <c r="D19" s="122">
        <f>Table356[[#This Row],[Column3]]</f>
        <v>116.5</v>
      </c>
      <c r="E19" s="122"/>
      <c r="F19" s="122">
        <f>Table356[[#This Row],[Column3]]</f>
        <v>116.5</v>
      </c>
      <c r="G19" s="122">
        <f>Table356[[#This Row],[Column3]]</f>
        <v>116.5</v>
      </c>
      <c r="H19" s="122">
        <f>Table356[[#This Row],[Column3]]</f>
        <v>116.5</v>
      </c>
      <c r="I19" s="122">
        <f>Table356[[#This Row],[Column3]]</f>
        <v>116.5</v>
      </c>
      <c r="J19" s="122">
        <f>Table356[[#This Row],[Column3]]</f>
        <v>116.5</v>
      </c>
      <c r="K19" s="122">
        <f>Table356[[#This Row],[Column3]]</f>
        <v>116.5</v>
      </c>
      <c r="L19" s="122"/>
      <c r="M19" s="122"/>
      <c r="N19" s="122">
        <f>Table356[[#This Row],[Column3]]</f>
        <v>116.5</v>
      </c>
      <c r="O19" s="122">
        <f>Table356[[#This Row],[Column3]]</f>
        <v>116.5</v>
      </c>
      <c r="P19" s="122">
        <f>Table356[[#This Row],[Column3]]</f>
        <v>116.5</v>
      </c>
    </row>
    <row r="20" spans="1:16" s="161" customFormat="1" ht="22.5">
      <c r="A20" s="120" t="s">
        <v>96</v>
      </c>
      <c r="B20" s="182"/>
      <c r="C20" s="176">
        <f>Table35[[#This Row],[Column3]]</f>
        <v>329.5</v>
      </c>
      <c r="D20" s="176">
        <f>Table356[[#This Row],[Column3]]</f>
        <v>329.5</v>
      </c>
      <c r="E20" s="176">
        <f>Table356[[#This Row],[Column3]]</f>
        <v>329.5</v>
      </c>
      <c r="F20" s="176">
        <f>Table356[[#This Row],[Column3]]</f>
        <v>329.5</v>
      </c>
      <c r="G20" s="176">
        <f>Table356[[#This Row],[Column3]]</f>
        <v>329.5</v>
      </c>
      <c r="H20" s="176">
        <f>Table356[[#This Row],[Column3]]</f>
        <v>329.5</v>
      </c>
      <c r="I20" s="176">
        <f>Table356[[#This Row],[Column3]]</f>
        <v>329.5</v>
      </c>
      <c r="J20" s="176">
        <f>Table356[[#This Row],[Column3]]</f>
        <v>329.5</v>
      </c>
      <c r="K20" s="176">
        <f>Table356[[#This Row],[Column3]]</f>
        <v>329.5</v>
      </c>
      <c r="L20" s="176">
        <f>Table356[[#This Row],[Column3]]</f>
        <v>329.5</v>
      </c>
      <c r="M20" s="176">
        <f>Table356[[#This Row],[Column3]]</f>
        <v>329.5</v>
      </c>
      <c r="N20" s="176">
        <f>Table356[[#This Row],[Column3]]</f>
        <v>329.5</v>
      </c>
      <c r="O20" s="176">
        <f>Table356[[#This Row],[Column3]]</f>
        <v>329.5</v>
      </c>
      <c r="P20" s="176">
        <f>Table356[[#This Row],[Column3]]</f>
        <v>329.5</v>
      </c>
    </row>
    <row r="21" spans="1:16" ht="47.25">
      <c r="A21" s="289" t="s">
        <v>187</v>
      </c>
      <c r="B21" s="167"/>
      <c r="C21" s="177">
        <v>20</v>
      </c>
      <c r="D21" s="177">
        <v>20</v>
      </c>
      <c r="E21" s="177">
        <v>20</v>
      </c>
      <c r="F21" s="177">
        <v>20</v>
      </c>
      <c r="G21" s="177">
        <v>20</v>
      </c>
      <c r="H21" s="177">
        <v>20</v>
      </c>
      <c r="I21" s="177">
        <v>20</v>
      </c>
      <c r="J21" s="177">
        <v>20</v>
      </c>
      <c r="K21" s="177">
        <v>20</v>
      </c>
      <c r="L21" s="177">
        <v>20</v>
      </c>
      <c r="M21" s="177">
        <v>20</v>
      </c>
      <c r="N21" s="178">
        <v>20</v>
      </c>
      <c r="O21" s="177">
        <v>20</v>
      </c>
      <c r="P21" s="177">
        <v>20</v>
      </c>
    </row>
    <row r="22" spans="1:16" ht="45">
      <c r="A22" s="120" t="s">
        <v>188</v>
      </c>
      <c r="B22" s="183"/>
      <c r="C22" s="151" t="s">
        <v>100</v>
      </c>
      <c r="D22" s="151" t="s">
        <v>100</v>
      </c>
      <c r="E22" s="151" t="s">
        <v>100</v>
      </c>
      <c r="F22" s="151" t="s">
        <v>100</v>
      </c>
      <c r="G22" s="151" t="s">
        <v>100</v>
      </c>
      <c r="H22" s="151" t="s">
        <v>100</v>
      </c>
      <c r="I22" s="151" t="s">
        <v>100</v>
      </c>
      <c r="J22" s="151" t="s">
        <v>100</v>
      </c>
      <c r="K22" s="151" t="s">
        <v>100</v>
      </c>
      <c r="L22" s="151" t="s">
        <v>100</v>
      </c>
      <c r="M22" s="151" t="s">
        <v>100</v>
      </c>
      <c r="N22" s="151" t="s">
        <v>100</v>
      </c>
      <c r="O22" s="151" t="s">
        <v>100</v>
      </c>
      <c r="P22" s="151" t="s">
        <v>100</v>
      </c>
    </row>
    <row r="23" spans="1:16" ht="18.600000000000001">
      <c r="A23" s="173" t="s">
        <v>101</v>
      </c>
      <c r="B23" s="144" t="s">
        <v>59</v>
      </c>
      <c r="C23" s="145">
        <f t="shared" ref="C23:C32" si="7">C24-7.5</f>
        <v>138.5</v>
      </c>
      <c r="D23" s="190"/>
      <c r="E23" s="190"/>
      <c r="F23" s="190"/>
      <c r="G23" s="190"/>
      <c r="H23" s="190"/>
      <c r="I23" s="190"/>
      <c r="J23" s="190"/>
      <c r="K23" s="190"/>
      <c r="L23" s="190"/>
      <c r="M23" s="190"/>
      <c r="N23" s="190"/>
      <c r="O23" s="190"/>
      <c r="P23" s="190"/>
    </row>
    <row r="24" spans="1:16" ht="18">
      <c r="A24" s="190"/>
      <c r="B24" s="144">
        <v>2</v>
      </c>
      <c r="C24" s="145">
        <f t="shared" si="7"/>
        <v>146</v>
      </c>
      <c r="D24" s="190"/>
      <c r="E24" s="190"/>
      <c r="F24" s="190"/>
      <c r="G24" s="190"/>
      <c r="H24" s="190"/>
      <c r="I24" s="190"/>
      <c r="J24" s="190"/>
      <c r="K24" s="190"/>
      <c r="L24" s="190"/>
      <c r="M24" s="190"/>
      <c r="N24" s="190"/>
      <c r="O24" s="190"/>
      <c r="P24" s="190"/>
    </row>
    <row r="25" spans="1:16" ht="18">
      <c r="A25" s="190"/>
      <c r="B25" s="144">
        <v>3</v>
      </c>
      <c r="C25" s="145">
        <f t="shared" si="7"/>
        <v>153.5</v>
      </c>
      <c r="D25" s="190"/>
      <c r="E25" s="190"/>
      <c r="F25" s="190"/>
      <c r="G25" s="190"/>
      <c r="H25" s="190"/>
      <c r="I25" s="190"/>
      <c r="J25" s="190"/>
      <c r="K25" s="190"/>
      <c r="L25" s="190"/>
      <c r="M25" s="190"/>
      <c r="N25" s="190"/>
      <c r="O25" s="190"/>
      <c r="P25" s="190"/>
    </row>
    <row r="26" spans="1:16" ht="18">
      <c r="A26" s="190"/>
      <c r="B26" s="144">
        <v>4</v>
      </c>
      <c r="C26" s="145">
        <f t="shared" si="7"/>
        <v>161</v>
      </c>
      <c r="D26" s="190"/>
      <c r="E26" s="190"/>
      <c r="F26" s="190"/>
      <c r="G26" s="190"/>
      <c r="H26" s="190"/>
      <c r="I26" s="190"/>
      <c r="J26" s="190"/>
      <c r="K26" s="190"/>
      <c r="L26" s="190"/>
      <c r="M26" s="190"/>
      <c r="N26" s="190"/>
      <c r="O26" s="190"/>
      <c r="P26" s="190"/>
    </row>
    <row r="27" spans="1:16" ht="18">
      <c r="A27" s="190"/>
      <c r="B27" s="144">
        <v>5</v>
      </c>
      <c r="C27" s="145">
        <f t="shared" si="7"/>
        <v>168.5</v>
      </c>
      <c r="D27" s="192"/>
      <c r="E27" s="192"/>
      <c r="F27" s="193"/>
      <c r="G27" s="194"/>
      <c r="H27" s="194"/>
      <c r="I27" s="194"/>
      <c r="J27" s="194"/>
      <c r="K27" s="194"/>
      <c r="L27" s="194"/>
      <c r="M27" s="194"/>
      <c r="N27" s="194"/>
      <c r="O27" s="194"/>
      <c r="P27" s="194"/>
    </row>
    <row r="28" spans="1:16" ht="18">
      <c r="A28" s="190"/>
      <c r="B28" s="144">
        <v>6</v>
      </c>
      <c r="C28" s="145">
        <f t="shared" si="7"/>
        <v>176</v>
      </c>
      <c r="D28" s="192"/>
      <c r="E28" s="192"/>
      <c r="F28" s="194"/>
      <c r="G28" s="194"/>
      <c r="H28" s="194"/>
      <c r="I28" s="194"/>
      <c r="J28" s="194"/>
      <c r="K28" s="194"/>
      <c r="L28" s="194"/>
      <c r="M28" s="194"/>
      <c r="N28" s="194"/>
      <c r="O28" s="194"/>
      <c r="P28" s="194"/>
    </row>
    <row r="29" spans="1:16" ht="20.100000000000001">
      <c r="A29" s="190"/>
      <c r="B29" s="144">
        <v>7</v>
      </c>
      <c r="C29" s="145">
        <f t="shared" si="7"/>
        <v>183.5</v>
      </c>
      <c r="D29" s="191"/>
      <c r="E29" s="191"/>
      <c r="F29" s="195"/>
      <c r="G29" s="194"/>
      <c r="H29" s="194"/>
      <c r="I29" s="194"/>
      <c r="J29" s="194"/>
      <c r="K29" s="194"/>
      <c r="L29" s="194"/>
      <c r="M29" s="194"/>
      <c r="N29" s="194"/>
      <c r="O29" s="194"/>
      <c r="P29" s="194"/>
    </row>
    <row r="30" spans="1:16" ht="20.100000000000001">
      <c r="A30" s="190"/>
      <c r="B30" s="144">
        <v>8</v>
      </c>
      <c r="C30" s="145">
        <f t="shared" si="7"/>
        <v>191</v>
      </c>
      <c r="D30" s="191"/>
      <c r="E30" s="191"/>
      <c r="F30" s="195"/>
      <c r="G30" s="195"/>
      <c r="H30" s="195"/>
      <c r="I30" s="195"/>
      <c r="J30" s="195"/>
      <c r="K30" s="195"/>
      <c r="L30" s="195"/>
      <c r="M30" s="195"/>
      <c r="N30" s="195"/>
      <c r="O30" s="195"/>
      <c r="P30" s="195"/>
    </row>
    <row r="31" spans="1:16" ht="20.100000000000001" hidden="1">
      <c r="A31" s="190"/>
      <c r="B31" s="144">
        <v>9</v>
      </c>
      <c r="C31" s="145">
        <f t="shared" si="7"/>
        <v>198.5</v>
      </c>
      <c r="D31" s="191"/>
      <c r="E31" s="191"/>
      <c r="F31" s="195"/>
      <c r="G31" s="195"/>
      <c r="H31" s="195"/>
      <c r="I31" s="195"/>
      <c r="J31" s="195"/>
      <c r="K31" s="195"/>
      <c r="L31" s="195"/>
      <c r="M31" s="93"/>
      <c r="N31" s="93"/>
      <c r="O31" s="93"/>
      <c r="P31" s="93"/>
    </row>
    <row r="32" spans="1:16" ht="20.100000000000001" hidden="1">
      <c r="A32" s="190"/>
      <c r="B32" s="144">
        <v>10</v>
      </c>
      <c r="C32" s="145">
        <f t="shared" si="7"/>
        <v>206</v>
      </c>
      <c r="D32" s="191"/>
      <c r="E32" s="191"/>
      <c r="F32" s="195"/>
      <c r="G32" s="195"/>
      <c r="H32" s="195"/>
      <c r="I32" s="195"/>
      <c r="J32" s="195"/>
      <c r="K32" s="195"/>
      <c r="L32" s="195"/>
      <c r="M32" s="94"/>
      <c r="N32" s="94"/>
      <c r="O32" s="94"/>
      <c r="P32" s="94"/>
    </row>
    <row r="33" spans="1:16" ht="20.100000000000001" hidden="1">
      <c r="A33" s="190"/>
      <c r="B33" s="144">
        <v>11</v>
      </c>
      <c r="C33" s="145">
        <f>C34-7.5</f>
        <v>213.5</v>
      </c>
      <c r="D33" s="191"/>
      <c r="E33" s="196"/>
      <c r="F33" s="197"/>
      <c r="G33" s="195"/>
      <c r="H33" s="195"/>
      <c r="I33" s="195"/>
      <c r="J33" s="195"/>
      <c r="K33" s="195"/>
      <c r="L33" s="195"/>
      <c r="M33" s="93"/>
      <c r="N33" s="93"/>
      <c r="O33" s="93"/>
      <c r="P33" s="93"/>
    </row>
    <row r="34" spans="1:16" ht="20.100000000000001">
      <c r="A34" s="191"/>
      <c r="B34" s="144" t="s">
        <v>66</v>
      </c>
      <c r="C34" s="174">
        <f>Table35[[#This Row],[Column3]]</f>
        <v>221</v>
      </c>
      <c r="D34" s="198"/>
      <c r="E34" s="199"/>
      <c r="F34" s="200"/>
      <c r="G34" s="201"/>
      <c r="H34" s="195"/>
      <c r="I34" s="195"/>
      <c r="J34" s="195"/>
      <c r="K34" s="195"/>
      <c r="L34" s="195"/>
      <c r="M34" s="94"/>
      <c r="N34" s="94"/>
      <c r="O34" s="94"/>
      <c r="P34" s="94"/>
    </row>
    <row r="35" spans="1:16">
      <c r="F35" s="166"/>
    </row>
    <row r="37" spans="1:16" ht="15.6">
      <c r="A37" s="281" t="s">
        <v>149</v>
      </c>
      <c r="B37" s="282"/>
      <c r="C37" s="282"/>
      <c r="D37" s="282"/>
      <c r="E37" s="282"/>
      <c r="F37" s="282"/>
      <c r="G37" s="282"/>
      <c r="H37" s="282"/>
      <c r="I37" s="282"/>
      <c r="J37" s="282"/>
      <c r="K37" s="282"/>
      <c r="L37" s="285"/>
    </row>
    <row r="38" spans="1:16" ht="15.6">
      <c r="A38" s="279" t="s">
        <v>150</v>
      </c>
      <c r="B38" s="280"/>
      <c r="C38" s="280"/>
      <c r="D38" s="280"/>
      <c r="E38" s="280"/>
      <c r="F38" s="280"/>
      <c r="G38" s="280"/>
      <c r="H38" s="280"/>
      <c r="I38" s="280"/>
      <c r="J38" s="280"/>
      <c r="K38" s="280"/>
      <c r="L38" s="283"/>
    </row>
    <row r="39" spans="1:16" ht="15.6">
      <c r="A39" s="279" t="s">
        <v>151</v>
      </c>
      <c r="B39" s="280"/>
      <c r="C39" s="280"/>
      <c r="D39" s="280"/>
      <c r="E39" s="280"/>
      <c r="F39" s="280"/>
      <c r="G39" s="280"/>
      <c r="H39" s="280"/>
      <c r="I39" s="280"/>
      <c r="J39" s="280"/>
      <c r="K39" s="280"/>
      <c r="L39" s="283"/>
    </row>
    <row r="40" spans="1:16" ht="15.6">
      <c r="A40" s="279" t="s">
        <v>152</v>
      </c>
      <c r="B40" s="280"/>
      <c r="C40" s="280"/>
      <c r="D40" s="280"/>
      <c r="E40" s="280"/>
      <c r="F40" s="280"/>
      <c r="G40" s="280"/>
      <c r="H40" s="280"/>
      <c r="I40" s="280"/>
      <c r="J40" s="280"/>
      <c r="K40" s="280"/>
      <c r="L40" s="283"/>
    </row>
    <row r="41" spans="1:16" ht="15.6">
      <c r="A41" s="279" t="s">
        <v>153</v>
      </c>
      <c r="B41" s="280"/>
      <c r="C41" s="280"/>
      <c r="D41" s="280"/>
      <c r="E41" s="280"/>
      <c r="F41" s="280"/>
      <c r="G41" s="280"/>
      <c r="H41" s="280"/>
      <c r="I41" s="280"/>
      <c r="J41" s="280"/>
      <c r="K41" s="280"/>
      <c r="L41" s="283"/>
    </row>
    <row r="42" spans="1:16" ht="15.6">
      <c r="A42" s="279" t="s">
        <v>105</v>
      </c>
      <c r="B42" s="280"/>
      <c r="C42" s="280"/>
      <c r="D42" s="280"/>
      <c r="E42" s="280"/>
      <c r="F42" s="280"/>
      <c r="G42" s="280"/>
      <c r="H42" s="280"/>
      <c r="I42" s="280"/>
      <c r="J42" s="280"/>
      <c r="K42" s="280"/>
      <c r="L42" s="283"/>
    </row>
    <row r="43" spans="1:16" ht="15.6">
      <c r="A43" s="279" t="s">
        <v>154</v>
      </c>
      <c r="B43" s="280"/>
      <c r="C43" s="280"/>
      <c r="D43" s="280"/>
      <c r="E43" s="280"/>
      <c r="F43" s="280"/>
      <c r="G43" s="280"/>
      <c r="H43" s="280"/>
      <c r="I43" s="280"/>
      <c r="J43" s="280"/>
      <c r="K43" s="280"/>
      <c r="L43" s="283"/>
    </row>
    <row r="44" spans="1:16" ht="15.6">
      <c r="A44" s="279" t="s">
        <v>107</v>
      </c>
      <c r="B44" s="280"/>
      <c r="C44" s="280"/>
      <c r="D44" s="280"/>
      <c r="E44" s="280"/>
      <c r="F44" s="280"/>
      <c r="G44" s="280"/>
      <c r="H44" s="280"/>
      <c r="I44" s="280"/>
      <c r="J44" s="280"/>
      <c r="K44" s="280"/>
      <c r="L44" s="283"/>
    </row>
    <row r="45" spans="1:16" ht="15.6">
      <c r="A45" s="244" t="s">
        <v>108</v>
      </c>
      <c r="B45" s="247"/>
      <c r="C45" s="247"/>
      <c r="D45" s="247"/>
      <c r="E45" s="247"/>
      <c r="F45" s="247"/>
      <c r="G45" s="247"/>
      <c r="H45" s="247"/>
      <c r="I45" s="247"/>
      <c r="J45" s="247"/>
      <c r="K45" s="247"/>
      <c r="L45" s="248"/>
    </row>
  </sheetData>
  <mergeCells count="9">
    <mergeCell ref="A41:L41"/>
    <mergeCell ref="A42:L42"/>
    <mergeCell ref="A43:L43"/>
    <mergeCell ref="A44:L44"/>
    <mergeCell ref="A1:P1"/>
    <mergeCell ref="A37:L37"/>
    <mergeCell ref="A38:L38"/>
    <mergeCell ref="A39:L39"/>
    <mergeCell ref="A40:L40"/>
  </mergeCells>
  <phoneticPr fontId="44" type="noConversion"/>
  <pageMargins left="0.7" right="0.7" top="0.75" bottom="0.75" header="0.3" footer="0.3"/>
  <pageSetup scale="33" fitToHeight="0"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2"/>
  <sheetViews>
    <sheetView showGridLines="0" zoomScale="60" zoomScaleNormal="60" workbookViewId="0">
      <pane ySplit="1" topLeftCell="A2" activePane="bottomLeft" state="frozen"/>
      <selection pane="bottomLeft" activeCell="A2" sqref="A2"/>
    </sheetView>
  </sheetViews>
  <sheetFormatPr defaultColWidth="9.140625" defaultRowHeight="14.45"/>
  <cols>
    <col min="1" max="1" width="58.85546875" style="1" customWidth="1"/>
    <col min="2" max="2" width="12.42578125" style="1" bestFit="1" customWidth="1"/>
    <col min="3" max="3" width="18.42578125" style="1" bestFit="1" customWidth="1"/>
    <col min="4" max="4" width="17" style="1" bestFit="1" customWidth="1"/>
    <col min="5" max="5" width="23.140625" style="1" bestFit="1" customWidth="1"/>
    <col min="6" max="6" width="23.140625" style="1" customWidth="1"/>
    <col min="7" max="7" width="25.7109375" style="1" bestFit="1" customWidth="1"/>
    <col min="8" max="8" width="25.7109375" style="1" customWidth="1"/>
    <col min="9" max="9" width="20.7109375" style="1" bestFit="1" customWidth="1"/>
    <col min="10" max="10" width="17.5703125" style="1" bestFit="1" customWidth="1"/>
    <col min="11" max="16384" width="9.140625" style="1"/>
  </cols>
  <sheetData>
    <row r="1" spans="1:10" ht="18" hidden="1" customHeight="1">
      <c r="A1" s="242"/>
      <c r="B1" s="242"/>
      <c r="C1" s="95">
        <v>21</v>
      </c>
      <c r="D1" s="95">
        <v>25</v>
      </c>
      <c r="E1" s="96">
        <v>29</v>
      </c>
      <c r="F1" s="96">
        <v>29</v>
      </c>
      <c r="G1" s="96">
        <v>40</v>
      </c>
      <c r="H1" s="96">
        <v>40</v>
      </c>
      <c r="I1" s="96">
        <v>47</v>
      </c>
      <c r="J1" s="96">
        <v>62</v>
      </c>
    </row>
    <row r="2" spans="1:10" ht="18">
      <c r="A2" s="243" t="s">
        <v>79</v>
      </c>
      <c r="B2" s="242"/>
      <c r="C2" s="97">
        <v>21</v>
      </c>
      <c r="D2" s="105">
        <v>25</v>
      </c>
      <c r="E2" s="97">
        <v>29</v>
      </c>
      <c r="F2" s="97" t="s">
        <v>189</v>
      </c>
      <c r="G2" s="97">
        <v>40</v>
      </c>
      <c r="H2" s="97" t="s">
        <v>190</v>
      </c>
      <c r="I2" s="105">
        <v>47</v>
      </c>
      <c r="J2" s="105">
        <v>62</v>
      </c>
    </row>
    <row r="3" spans="1:10" ht="18">
      <c r="A3" s="243" t="s">
        <v>80</v>
      </c>
      <c r="B3" s="242"/>
      <c r="C3" s="97" t="s">
        <v>191</v>
      </c>
      <c r="D3" s="97" t="s">
        <v>114</v>
      </c>
      <c r="E3" s="97" t="s">
        <v>189</v>
      </c>
      <c r="F3" s="100" t="s">
        <v>192</v>
      </c>
      <c r="G3" s="97" t="s">
        <v>190</v>
      </c>
      <c r="H3" s="100" t="s">
        <v>193</v>
      </c>
      <c r="I3" s="97" t="s">
        <v>194</v>
      </c>
      <c r="J3" s="97" t="s">
        <v>195</v>
      </c>
    </row>
    <row r="4" spans="1:10" ht="18">
      <c r="A4" s="243" t="s">
        <v>196</v>
      </c>
      <c r="B4" s="242"/>
      <c r="C4" s="97" t="s">
        <v>84</v>
      </c>
      <c r="D4" s="100" t="s">
        <v>168</v>
      </c>
      <c r="E4" s="100" t="s">
        <v>192</v>
      </c>
      <c r="F4" s="101" t="s">
        <v>197</v>
      </c>
      <c r="G4" s="100" t="s">
        <v>193</v>
      </c>
      <c r="H4" s="101" t="s">
        <v>198</v>
      </c>
      <c r="I4" s="100" t="s">
        <v>199</v>
      </c>
      <c r="J4" s="100" t="s">
        <v>200</v>
      </c>
    </row>
    <row r="5" spans="1:10" ht="18">
      <c r="A5" s="242"/>
      <c r="B5" s="242"/>
      <c r="C5" s="5"/>
      <c r="D5" s="5"/>
      <c r="E5" s="5"/>
      <c r="F5" s="105" t="s">
        <v>135</v>
      </c>
      <c r="G5" s="5"/>
      <c r="H5" s="105" t="s">
        <v>135</v>
      </c>
      <c r="I5" s="5"/>
      <c r="J5" s="99"/>
    </row>
    <row r="6" spans="1:10" ht="18" hidden="1">
      <c r="A6" s="7" t="s">
        <v>21</v>
      </c>
      <c r="B6" s="5" t="s">
        <v>22</v>
      </c>
      <c r="C6" s="5" t="s">
        <v>23</v>
      </c>
      <c r="D6" s="5" t="s">
        <v>24</v>
      </c>
      <c r="E6" s="5" t="s">
        <v>25</v>
      </c>
      <c r="F6" s="5" t="s">
        <v>201</v>
      </c>
      <c r="G6" s="5" t="s">
        <v>26</v>
      </c>
      <c r="H6" s="5" t="s">
        <v>141</v>
      </c>
      <c r="I6" s="5" t="s">
        <v>27</v>
      </c>
      <c r="J6" s="5" t="s">
        <v>28</v>
      </c>
    </row>
    <row r="7" spans="1:10" ht="24.95">
      <c r="A7" s="113" t="s">
        <v>93</v>
      </c>
      <c r="B7" s="114"/>
      <c r="C7" s="114"/>
      <c r="D7" s="114"/>
      <c r="E7" s="114"/>
      <c r="F7" s="114"/>
      <c r="G7" s="114"/>
      <c r="H7" s="114"/>
      <c r="I7" s="114"/>
      <c r="J7" s="114"/>
    </row>
    <row r="8" spans="1:10" s="13" customFormat="1" ht="44.1">
      <c r="A8" s="120" t="s">
        <v>202</v>
      </c>
      <c r="B8" s="121"/>
      <c r="C8" s="122">
        <f>Table37[[#This Row],[Column3]]</f>
        <v>7690.5</v>
      </c>
      <c r="D8" s="122">
        <f>Table37[[#This Row],[Column12]]</f>
        <v>9001</v>
      </c>
      <c r="E8" s="122">
        <f>Table37[[#This Row],[Column10]]</f>
        <v>7922</v>
      </c>
      <c r="F8" s="122">
        <f>F15*12</f>
        <v>8496</v>
      </c>
      <c r="G8" s="122">
        <f>Table3[[#This Row],[Column3]]</f>
        <v>7690.5</v>
      </c>
      <c r="H8" s="122">
        <f>H15*12</f>
        <v>8508</v>
      </c>
      <c r="I8" s="122">
        <f>Table3[[#This Row],[Column3]]</f>
        <v>7690.5</v>
      </c>
      <c r="J8" s="122">
        <f>Table3[[#This Row],[Column3]]</f>
        <v>7690.5</v>
      </c>
    </row>
    <row r="9" spans="1:10" s="13" customFormat="1" ht="44.1">
      <c r="A9" s="120" t="s">
        <v>203</v>
      </c>
      <c r="B9" s="121"/>
      <c r="C9" s="122">
        <f>Table37[[#This Row],[Column3]]</f>
        <v>18415.5</v>
      </c>
      <c r="D9" s="122">
        <f>Table37[[#This Row],[Column12]]</f>
        <v>16021</v>
      </c>
      <c r="E9" s="122">
        <v>18426</v>
      </c>
      <c r="F9" s="122">
        <f>F16*12</f>
        <v>8496</v>
      </c>
      <c r="G9" s="122">
        <f>Table3[[#This Row],[Column3]]</f>
        <v>18415.5</v>
      </c>
      <c r="H9" s="122">
        <f>H16*12</f>
        <v>8508</v>
      </c>
      <c r="I9" s="122">
        <f>Table3[[#This Row],[Column3]]</f>
        <v>18415.5</v>
      </c>
      <c r="J9" s="122">
        <f>Table3[[#This Row],[Column3]]</f>
        <v>18415.5</v>
      </c>
    </row>
    <row r="10" spans="1:10" s="13" customFormat="1" ht="23.45">
      <c r="A10" s="184" t="s">
        <v>204</v>
      </c>
      <c r="B10" s="121"/>
      <c r="C10" s="126">
        <f>2484/2</f>
        <v>1242</v>
      </c>
      <c r="D10" s="126">
        <f>2461/2</f>
        <v>1230.5</v>
      </c>
      <c r="E10" s="126">
        <f>Table3[[#This Row],[Column3]]</f>
        <v>1242</v>
      </c>
      <c r="F10" s="126"/>
      <c r="G10" s="126">
        <f>Table3[[#This Row],[Column3]]</f>
        <v>1242</v>
      </c>
      <c r="H10" s="126"/>
      <c r="I10" s="126">
        <f>Table3[[#This Row],[Column3]]</f>
        <v>1242</v>
      </c>
      <c r="J10" s="126">
        <f>2467/2</f>
        <v>1233.5</v>
      </c>
    </row>
    <row r="11" spans="1:10" s="13" customFormat="1" ht="23.45">
      <c r="A11" s="120" t="s">
        <v>42</v>
      </c>
      <c r="B11" s="121"/>
      <c r="C11" s="122">
        <f>349/2</f>
        <v>174.5</v>
      </c>
      <c r="D11" s="122">
        <f>289/2</f>
        <v>144.5</v>
      </c>
      <c r="E11" s="122">
        <f>464/2</f>
        <v>232</v>
      </c>
      <c r="F11" s="122"/>
      <c r="G11" s="122">
        <f>346/2</f>
        <v>173</v>
      </c>
      <c r="H11" s="122"/>
      <c r="I11" s="122">
        <f>422/2</f>
        <v>211</v>
      </c>
      <c r="J11" s="122">
        <f>347/2</f>
        <v>173.5</v>
      </c>
    </row>
    <row r="12" spans="1:10" s="20" customFormat="1" ht="22.5">
      <c r="A12" s="120" t="s">
        <v>96</v>
      </c>
      <c r="B12" s="185"/>
      <c r="C12" s="177">
        <f>Table37[[#This Row],[Column3]]</f>
        <v>1221.5</v>
      </c>
      <c r="D12" s="177">
        <f>Table3[[#This Row],[Column3]]</f>
        <v>1221.5</v>
      </c>
      <c r="E12" s="177">
        <f>Table3[[#This Row],[Column3]]</f>
        <v>1221.5</v>
      </c>
      <c r="F12" s="177">
        <f>Table3[[#This Row],[Column3]]</f>
        <v>1221.5</v>
      </c>
      <c r="G12" s="177">
        <f>Table3[[#This Row],[Column3]]</f>
        <v>1221.5</v>
      </c>
      <c r="H12" s="177">
        <f>Table3[[#This Row],[Column3]]</f>
        <v>1221.5</v>
      </c>
      <c r="I12" s="177">
        <f>Table3[[#This Row],[Column3]]</f>
        <v>1221.5</v>
      </c>
      <c r="J12" s="177">
        <f>Table3[[#This Row],[Column3]]</f>
        <v>1221.5</v>
      </c>
    </row>
    <row r="13" spans="1:10" s="13" customFormat="1" ht="23.1">
      <c r="A13" s="120" t="s">
        <v>205</v>
      </c>
      <c r="B13" s="129"/>
      <c r="C13" s="122">
        <f>C32</f>
        <v>221</v>
      </c>
      <c r="D13" s="122">
        <f>C32</f>
        <v>221</v>
      </c>
      <c r="E13" s="122">
        <f>C32</f>
        <v>221</v>
      </c>
      <c r="F13" s="122">
        <f>C32</f>
        <v>221</v>
      </c>
      <c r="G13" s="122">
        <f>C32</f>
        <v>221</v>
      </c>
      <c r="H13" s="122">
        <f>C32</f>
        <v>221</v>
      </c>
      <c r="I13" s="122">
        <f>C32</f>
        <v>221</v>
      </c>
      <c r="J13" s="122">
        <f>C32</f>
        <v>221</v>
      </c>
    </row>
    <row r="14" spans="1:10" ht="24.95">
      <c r="A14" s="113" t="s">
        <v>98</v>
      </c>
      <c r="B14" s="116"/>
      <c r="C14" s="146"/>
      <c r="D14" s="146"/>
      <c r="E14" s="146"/>
      <c r="F14" s="146"/>
      <c r="G14" s="146"/>
      <c r="H14" s="146"/>
      <c r="I14" s="146"/>
      <c r="J14" s="146"/>
    </row>
    <row r="15" spans="1:10" s="13" customFormat="1" ht="23.1">
      <c r="A15" s="120" t="s">
        <v>50</v>
      </c>
      <c r="B15" s="129"/>
      <c r="C15" s="122">
        <f>Table37[[#This Row],[Column3]]</f>
        <v>496</v>
      </c>
      <c r="D15" s="122">
        <f>Table37[[#This Row],[Column12]]</f>
        <v>597</v>
      </c>
      <c r="E15" s="122">
        <f>Table37[[#This Row],[Column10]]</f>
        <v>511</v>
      </c>
      <c r="F15" s="122">
        <v>708</v>
      </c>
      <c r="G15" s="122">
        <f>Table3[[#This Row],[Column3]]</f>
        <v>496</v>
      </c>
      <c r="H15" s="122">
        <v>709</v>
      </c>
      <c r="I15" s="122">
        <f>Table3[[#This Row],[Column3]]</f>
        <v>496</v>
      </c>
      <c r="J15" s="122">
        <f>Table3[[#This Row],[Column3]]</f>
        <v>496</v>
      </c>
    </row>
    <row r="16" spans="1:10" s="13" customFormat="1" ht="45.6">
      <c r="A16" s="120" t="s">
        <v>51</v>
      </c>
      <c r="B16" s="129"/>
      <c r="C16" s="122">
        <f>Table37[[#This Row],[Column3]]</f>
        <v>1197</v>
      </c>
      <c r="D16" s="122">
        <f>Table37[[#This Row],[Column12]]</f>
        <v>1068</v>
      </c>
      <c r="E16" s="122">
        <f>Table37[[#This Row],[Column10]]</f>
        <v>1197</v>
      </c>
      <c r="F16" s="122">
        <f>F15</f>
        <v>708</v>
      </c>
      <c r="G16" s="122">
        <f>Table3[[#This Row],[Column3]]</f>
        <v>1197</v>
      </c>
      <c r="H16" s="122">
        <f>H15</f>
        <v>709</v>
      </c>
      <c r="I16" s="122">
        <f>Table3[[#This Row],[Column3]]</f>
        <v>1197</v>
      </c>
      <c r="J16" s="122">
        <f>Table3[[#This Row],[Column3]]</f>
        <v>1197</v>
      </c>
    </row>
    <row r="17" spans="1:10" s="13" customFormat="1" ht="23.1">
      <c r="A17" s="120" t="s">
        <v>204</v>
      </c>
      <c r="B17" s="129"/>
      <c r="C17" s="122">
        <f>741/2</f>
        <v>370.5</v>
      </c>
      <c r="D17" s="122">
        <f>731/2</f>
        <v>365.5</v>
      </c>
      <c r="E17" s="122">
        <f>Table3[[#This Row],[Column3]]</f>
        <v>370.5</v>
      </c>
      <c r="F17" s="122"/>
      <c r="G17" s="122">
        <f>Table3[[#This Row],[Column3]]</f>
        <v>370.5</v>
      </c>
      <c r="H17" s="122"/>
      <c r="I17" s="122">
        <f>Table3[[#This Row],[Column3]]</f>
        <v>370.5</v>
      </c>
      <c r="J17" s="122">
        <f>759/2</f>
        <v>379.5</v>
      </c>
    </row>
    <row r="18" spans="1:10" s="13" customFormat="1" ht="23.1">
      <c r="A18" s="120" t="s">
        <v>42</v>
      </c>
      <c r="B18" s="129"/>
      <c r="C18" s="122">
        <f>201/2</f>
        <v>100.5</v>
      </c>
      <c r="D18" s="122">
        <f>143/2</f>
        <v>71.5</v>
      </c>
      <c r="E18" s="122">
        <f>230/2</f>
        <v>115</v>
      </c>
      <c r="F18" s="122"/>
      <c r="G18" s="122">
        <f>199/2</f>
        <v>99.5</v>
      </c>
      <c r="H18" s="122"/>
      <c r="I18" s="122">
        <f>212/2</f>
        <v>106</v>
      </c>
      <c r="J18" s="122">
        <f>202/2</f>
        <v>101</v>
      </c>
    </row>
    <row r="19" spans="1:10" s="13" customFormat="1" ht="22.5">
      <c r="A19" s="120" t="s">
        <v>96</v>
      </c>
      <c r="B19" s="186"/>
      <c r="C19" s="187">
        <f>Table37[[#This Row],[Column3]]</f>
        <v>350.5</v>
      </c>
      <c r="D19" s="187">
        <f>Table3[[#This Row],[Column3]]</f>
        <v>350.5</v>
      </c>
      <c r="E19" s="187">
        <f>Table3[[#This Row],[Column3]]</f>
        <v>350.5</v>
      </c>
      <c r="F19" s="187">
        <f>Table3[[#This Row],[Column3]]</f>
        <v>350.5</v>
      </c>
      <c r="G19" s="187">
        <f>Table3[[#This Row],[Column3]]</f>
        <v>350.5</v>
      </c>
      <c r="H19" s="187">
        <f>Table3[[#This Row],[Column3]]</f>
        <v>350.5</v>
      </c>
      <c r="I19" s="187">
        <f>Table3[[#This Row],[Column3]]</f>
        <v>350.5</v>
      </c>
      <c r="J19" s="187">
        <f>Table3[[#This Row],[Column3]]</f>
        <v>350.5</v>
      </c>
    </row>
    <row r="20" spans="1:10" ht="45">
      <c r="A20" s="120" t="s">
        <v>206</v>
      </c>
      <c r="B20" s="150"/>
      <c r="C20" s="151" t="s">
        <v>100</v>
      </c>
      <c r="D20" s="151" t="s">
        <v>100</v>
      </c>
      <c r="E20" s="151" t="s">
        <v>100</v>
      </c>
      <c r="F20" s="151" t="s">
        <v>100</v>
      </c>
      <c r="G20" s="151" t="s">
        <v>100</v>
      </c>
      <c r="H20" s="151" t="s">
        <v>100</v>
      </c>
      <c r="I20" s="151" t="s">
        <v>100</v>
      </c>
      <c r="J20" s="151" t="s">
        <v>100</v>
      </c>
    </row>
    <row r="21" spans="1:10" ht="24.95">
      <c r="A21" s="119" t="s">
        <v>101</v>
      </c>
      <c r="B21" s="144" t="s">
        <v>59</v>
      </c>
      <c r="C21" s="145">
        <f t="shared" ref="C21:C30" si="0">C22-7.5</f>
        <v>138.5</v>
      </c>
      <c r="D21" s="143"/>
      <c r="E21" s="143"/>
      <c r="F21" s="143"/>
      <c r="G21" s="143"/>
      <c r="H21" s="143"/>
      <c r="I21" s="143"/>
      <c r="J21" s="143"/>
    </row>
    <row r="22" spans="1:10" ht="18">
      <c r="A22" s="254"/>
      <c r="B22" s="144">
        <v>2</v>
      </c>
      <c r="C22" s="145">
        <f t="shared" si="0"/>
        <v>146</v>
      </c>
      <c r="D22" s="256"/>
      <c r="E22" s="256"/>
      <c r="F22" s="256"/>
      <c r="G22" s="256"/>
      <c r="H22" s="256"/>
      <c r="I22" s="256"/>
      <c r="J22" s="256"/>
    </row>
    <row r="23" spans="1:10" ht="18">
      <c r="A23" s="254"/>
      <c r="B23" s="144">
        <v>3</v>
      </c>
      <c r="C23" s="145">
        <f t="shared" si="0"/>
        <v>153.5</v>
      </c>
      <c r="D23" s="134"/>
      <c r="E23" s="134"/>
      <c r="F23" s="134"/>
      <c r="G23" s="134"/>
      <c r="H23" s="134"/>
      <c r="I23" s="134"/>
      <c r="J23" s="134"/>
    </row>
    <row r="24" spans="1:10" ht="18">
      <c r="A24" s="254"/>
      <c r="B24" s="144">
        <v>4</v>
      </c>
      <c r="C24" s="145">
        <f t="shared" si="0"/>
        <v>161</v>
      </c>
      <c r="D24" s="255"/>
      <c r="E24" s="255"/>
      <c r="F24" s="255"/>
      <c r="G24" s="255"/>
      <c r="H24" s="255"/>
      <c r="I24" s="255"/>
      <c r="J24" s="257"/>
    </row>
    <row r="25" spans="1:10" ht="18">
      <c r="A25" s="132"/>
      <c r="B25" s="144">
        <v>5</v>
      </c>
      <c r="C25" s="145">
        <f t="shared" si="0"/>
        <v>168.5</v>
      </c>
      <c r="D25" s="135"/>
      <c r="E25" s="136"/>
      <c r="F25" s="136"/>
      <c r="G25" s="137"/>
      <c r="H25" s="137"/>
      <c r="I25" s="137"/>
      <c r="J25" s="137"/>
    </row>
    <row r="26" spans="1:10" ht="18">
      <c r="A26" s="132"/>
      <c r="B26" s="144">
        <v>6</v>
      </c>
      <c r="C26" s="145">
        <f t="shared" si="0"/>
        <v>176</v>
      </c>
      <c r="D26" s="135"/>
      <c r="E26" s="137"/>
      <c r="F26" s="137"/>
      <c r="G26" s="137"/>
      <c r="H26" s="137"/>
      <c r="I26" s="137"/>
      <c r="J26" s="137"/>
    </row>
    <row r="27" spans="1:10" ht="20.100000000000001">
      <c r="A27" s="132"/>
      <c r="B27" s="144">
        <v>7</v>
      </c>
      <c r="C27" s="145">
        <f t="shared" si="0"/>
        <v>183.5</v>
      </c>
      <c r="D27" s="139"/>
      <c r="E27" s="140"/>
      <c r="F27" s="140"/>
      <c r="G27" s="137"/>
      <c r="H27" s="137"/>
      <c r="I27" s="137"/>
      <c r="J27" s="137"/>
    </row>
    <row r="28" spans="1:10" ht="20.100000000000001">
      <c r="A28" s="132"/>
      <c r="B28" s="144">
        <v>8</v>
      </c>
      <c r="C28" s="145">
        <f t="shared" si="0"/>
        <v>191</v>
      </c>
      <c r="D28" s="139"/>
      <c r="E28" s="140"/>
      <c r="F28" s="140"/>
      <c r="G28" s="140"/>
      <c r="H28" s="140"/>
      <c r="I28" s="140"/>
      <c r="J28" s="140"/>
    </row>
    <row r="29" spans="1:10" ht="20.100000000000001">
      <c r="A29" s="132"/>
      <c r="B29" s="144">
        <v>9</v>
      </c>
      <c r="C29" s="145">
        <f t="shared" si="0"/>
        <v>198.5</v>
      </c>
      <c r="D29" s="139"/>
      <c r="E29" s="140"/>
      <c r="F29" s="140"/>
      <c r="G29" s="140"/>
      <c r="H29" s="140"/>
      <c r="I29" s="140"/>
      <c r="J29" s="140"/>
    </row>
    <row r="30" spans="1:10" ht="20.100000000000001">
      <c r="A30" s="132"/>
      <c r="B30" s="144">
        <v>10</v>
      </c>
      <c r="C30" s="145">
        <f t="shared" si="0"/>
        <v>206</v>
      </c>
      <c r="D30" s="139"/>
      <c r="E30" s="140"/>
      <c r="F30" s="140"/>
      <c r="G30" s="140"/>
      <c r="H30" s="140"/>
      <c r="I30" s="140"/>
      <c r="J30" s="140"/>
    </row>
    <row r="31" spans="1:10" ht="20.100000000000001">
      <c r="A31" s="132"/>
      <c r="B31" s="144">
        <v>11</v>
      </c>
      <c r="C31" s="145">
        <f>C32-7.5</f>
        <v>213.5</v>
      </c>
      <c r="D31" s="139"/>
      <c r="E31" s="140"/>
      <c r="F31" s="140"/>
      <c r="G31" s="140"/>
      <c r="H31" s="140"/>
      <c r="I31" s="140"/>
      <c r="J31" s="140"/>
    </row>
    <row r="32" spans="1:10" ht="24.95">
      <c r="A32" s="133"/>
      <c r="B32" s="144" t="s">
        <v>66</v>
      </c>
      <c r="C32" s="145">
        <f>Table37[[#This Row],[Column3]]</f>
        <v>221</v>
      </c>
      <c r="D32" s="139"/>
      <c r="E32" s="140"/>
      <c r="F32" s="140"/>
      <c r="G32" s="140"/>
      <c r="H32" s="140"/>
      <c r="I32" s="140"/>
      <c r="J32" s="140"/>
    </row>
    <row r="35" spans="1:6" ht="15.6">
      <c r="A35" s="281" t="s">
        <v>149</v>
      </c>
      <c r="B35" s="282"/>
      <c r="C35" s="282"/>
      <c r="D35" s="282"/>
      <c r="E35" s="282"/>
      <c r="F35" s="285"/>
    </row>
    <row r="36" spans="1:6" ht="15.6">
      <c r="A36" s="279" t="s">
        <v>103</v>
      </c>
      <c r="B36" s="280"/>
      <c r="C36" s="280"/>
      <c r="D36" s="280"/>
      <c r="E36" s="280"/>
      <c r="F36" s="283"/>
    </row>
    <row r="37" spans="1:6" ht="15.6">
      <c r="A37" s="279" t="s">
        <v>153</v>
      </c>
      <c r="B37" s="280"/>
      <c r="C37" s="280"/>
      <c r="D37" s="280"/>
      <c r="E37" s="280"/>
      <c r="F37" s="283"/>
    </row>
    <row r="38" spans="1:6" ht="15.6">
      <c r="A38" s="279" t="s">
        <v>105</v>
      </c>
      <c r="B38" s="280"/>
      <c r="C38" s="280"/>
      <c r="D38" s="280"/>
      <c r="E38" s="280"/>
      <c r="F38" s="283"/>
    </row>
    <row r="39" spans="1:6" ht="15.6">
      <c r="A39" s="279" t="s">
        <v>106</v>
      </c>
      <c r="B39" s="280"/>
      <c r="C39" s="280"/>
      <c r="D39" s="280"/>
      <c r="E39" s="280"/>
      <c r="F39" s="283"/>
    </row>
    <row r="40" spans="1:6" ht="15.6">
      <c r="A40" s="279" t="s">
        <v>207</v>
      </c>
      <c r="B40" s="280"/>
      <c r="C40" s="280"/>
      <c r="D40" s="280"/>
      <c r="E40" s="280"/>
      <c r="F40" s="283"/>
    </row>
    <row r="41" spans="1:6" ht="17.25" customHeight="1">
      <c r="A41" s="279" t="s">
        <v>208</v>
      </c>
      <c r="B41" s="280"/>
      <c r="C41" s="280"/>
      <c r="D41" s="280"/>
      <c r="E41" s="280"/>
      <c r="F41" s="283"/>
    </row>
    <row r="42" spans="1:6" ht="15.6">
      <c r="A42" s="286"/>
      <c r="B42" s="287"/>
      <c r="C42" s="287"/>
      <c r="D42" s="287"/>
      <c r="E42" s="287"/>
      <c r="F42" s="288"/>
    </row>
  </sheetData>
  <mergeCells count="8">
    <mergeCell ref="A39:F39"/>
    <mergeCell ref="A40:F40"/>
    <mergeCell ref="A41:F41"/>
    <mergeCell ref="A42:F42"/>
    <mergeCell ref="A35:F35"/>
    <mergeCell ref="A36:F36"/>
    <mergeCell ref="A37:F37"/>
    <mergeCell ref="A38:F38"/>
  </mergeCells>
  <phoneticPr fontId="44" type="noConversion"/>
  <pageMargins left="0.7" right="0.7" top="0.75" bottom="0.75" header="0.3" footer="0.3"/>
  <pageSetup scale="48" fitToHeight="0" orientation="landscape" horizontalDpi="300" verticalDpi="3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46"/>
  <sheetViews>
    <sheetView showGridLines="0" topLeftCell="A2" zoomScale="60" zoomScaleNormal="60" workbookViewId="0">
      <selection activeCell="A2" sqref="A2"/>
    </sheetView>
  </sheetViews>
  <sheetFormatPr defaultColWidth="9.140625" defaultRowHeight="14.1"/>
  <cols>
    <col min="1" max="1" width="58.5703125" style="153" customWidth="1"/>
    <col min="2" max="2" width="13.28515625" style="153" bestFit="1" customWidth="1"/>
    <col min="3" max="3" width="18.28515625" style="153" bestFit="1" customWidth="1"/>
    <col min="4" max="4" width="17.28515625" style="153" bestFit="1" customWidth="1"/>
    <col min="5" max="5" width="19" style="153" bestFit="1" customWidth="1"/>
    <col min="6" max="7" width="25.42578125" style="153" customWidth="1"/>
    <col min="8" max="8" width="17.85546875" style="153" bestFit="1" customWidth="1"/>
    <col min="9" max="10" width="9.140625" style="153"/>
    <col min="11" max="11" width="61.140625" style="153" customWidth="1"/>
    <col min="12" max="16384" width="9.140625" style="153"/>
  </cols>
  <sheetData>
    <row r="1" spans="1:11" ht="18" hidden="1">
      <c r="A1" s="273"/>
      <c r="B1" s="273"/>
      <c r="C1" s="273"/>
      <c r="D1" s="273"/>
      <c r="E1" s="273"/>
      <c r="F1" s="273"/>
      <c r="G1" s="273"/>
      <c r="H1" s="273"/>
    </row>
    <row r="2" spans="1:11" ht="18">
      <c r="A2" s="243" t="s">
        <v>79</v>
      </c>
      <c r="B2" s="246"/>
      <c r="C2" s="95">
        <v>20</v>
      </c>
      <c r="D2" s="96">
        <v>23</v>
      </c>
      <c r="E2" s="96">
        <v>26</v>
      </c>
      <c r="F2" s="96">
        <v>26</v>
      </c>
      <c r="G2" s="96">
        <v>26</v>
      </c>
      <c r="H2" s="96">
        <v>27</v>
      </c>
    </row>
    <row r="3" spans="1:11" ht="18">
      <c r="A3" s="243" t="s">
        <v>80</v>
      </c>
      <c r="B3" s="246"/>
      <c r="C3" s="97" t="s">
        <v>209</v>
      </c>
      <c r="D3" s="155"/>
      <c r="E3" s="155"/>
      <c r="F3" s="105" t="s">
        <v>109</v>
      </c>
      <c r="G3" s="105" t="s">
        <v>109</v>
      </c>
      <c r="H3" s="97" t="s">
        <v>114</v>
      </c>
    </row>
    <row r="4" spans="1:11" ht="18">
      <c r="A4" s="243" t="s">
        <v>210</v>
      </c>
      <c r="B4" s="246"/>
      <c r="C4" s="97" t="s">
        <v>211</v>
      </c>
      <c r="D4" s="97" t="s">
        <v>212</v>
      </c>
      <c r="E4" s="97" t="s">
        <v>109</v>
      </c>
      <c r="F4" s="97" t="s">
        <v>213</v>
      </c>
      <c r="G4" s="97" t="s">
        <v>214</v>
      </c>
      <c r="H4" s="97" t="s">
        <v>194</v>
      </c>
    </row>
    <row r="5" spans="1:11" ht="18">
      <c r="A5" s="246"/>
      <c r="B5" s="246"/>
      <c r="C5" s="100" t="s">
        <v>215</v>
      </c>
      <c r="D5" s="97" t="s">
        <v>192</v>
      </c>
      <c r="E5" s="100" t="s">
        <v>192</v>
      </c>
      <c r="F5" s="100" t="s">
        <v>170</v>
      </c>
      <c r="G5" s="100" t="s">
        <v>216</v>
      </c>
      <c r="H5" s="100" t="s">
        <v>199</v>
      </c>
    </row>
    <row r="6" spans="1:11" ht="15.6">
      <c r="A6" s="246"/>
      <c r="B6" s="246"/>
      <c r="C6" s="156"/>
      <c r="D6" s="99"/>
      <c r="E6" s="156"/>
      <c r="F6" s="156"/>
      <c r="G6" s="156"/>
      <c r="H6" s="156"/>
    </row>
    <row r="7" spans="1:11" ht="30" hidden="1" customHeight="1">
      <c r="A7" s="7" t="s">
        <v>21</v>
      </c>
      <c r="B7" s="156" t="s">
        <v>22</v>
      </c>
      <c r="C7" s="156" t="s">
        <v>23</v>
      </c>
      <c r="D7" s="156" t="s">
        <v>29</v>
      </c>
      <c r="E7" s="156" t="s">
        <v>30</v>
      </c>
      <c r="F7" s="156" t="s">
        <v>31</v>
      </c>
      <c r="G7" s="156" t="s">
        <v>217</v>
      </c>
      <c r="H7" s="156" t="s">
        <v>32</v>
      </c>
    </row>
    <row r="8" spans="1:11" ht="24.95">
      <c r="A8" s="113" t="s">
        <v>93</v>
      </c>
      <c r="B8" s="159"/>
      <c r="C8" s="159"/>
      <c r="D8" s="159"/>
      <c r="E8" s="159"/>
      <c r="F8" s="159"/>
      <c r="G8" s="159"/>
      <c r="H8" s="159"/>
    </row>
    <row r="9" spans="1:11" s="161" customFormat="1" ht="42.95">
      <c r="A9" s="120" t="s">
        <v>202</v>
      </c>
      <c r="B9" s="160"/>
      <c r="C9" s="122">
        <f>C16*12</f>
        <v>11484</v>
      </c>
      <c r="D9" s="122">
        <f>33472/2</f>
        <v>16736</v>
      </c>
      <c r="E9" s="122">
        <f t="shared" ref="E9:H10" si="0">E16*12</f>
        <v>11148</v>
      </c>
      <c r="F9" s="122">
        <f t="shared" si="0"/>
        <v>11124</v>
      </c>
      <c r="G9" s="122">
        <f t="shared" ref="G9" si="1">G16*12</f>
        <v>14040</v>
      </c>
      <c r="H9" s="122">
        <f t="shared" si="0"/>
        <v>11148</v>
      </c>
    </row>
    <row r="10" spans="1:11" s="161" customFormat="1" ht="42.95">
      <c r="A10" s="120" t="s">
        <v>203</v>
      </c>
      <c r="B10" s="160"/>
      <c r="C10" s="122">
        <f>C17*12</f>
        <v>19488</v>
      </c>
      <c r="D10" s="122">
        <f>50736/2</f>
        <v>25368</v>
      </c>
      <c r="E10" s="122">
        <f t="shared" si="0"/>
        <v>19140</v>
      </c>
      <c r="F10" s="122">
        <f t="shared" si="0"/>
        <v>19140</v>
      </c>
      <c r="G10" s="122">
        <f t="shared" ref="G10" si="2">G17*12</f>
        <v>20748</v>
      </c>
      <c r="H10" s="122">
        <f t="shared" si="0"/>
        <v>19140</v>
      </c>
    </row>
    <row r="11" spans="1:11" s="161" customFormat="1" ht="22.5">
      <c r="A11" s="184" t="s">
        <v>204</v>
      </c>
      <c r="B11" s="160"/>
      <c r="C11" s="126">
        <f>Table3813[[#This Row],[Column10]]</f>
        <v>973</v>
      </c>
      <c r="D11" s="188">
        <f>2316/2</f>
        <v>1158</v>
      </c>
      <c r="E11" s="122">
        <f>1946/2</f>
        <v>973</v>
      </c>
      <c r="F11" s="122">
        <f>Table3813[[#This Row],[Column3]]</f>
        <v>973</v>
      </c>
      <c r="G11" s="122">
        <f>Table3813[[#This Row],[Column3]]</f>
        <v>973</v>
      </c>
      <c r="H11" s="122">
        <f>Table3813[[#This Row],[Column10]]</f>
        <v>973</v>
      </c>
      <c r="K11" s="202"/>
    </row>
    <row r="12" spans="1:11" s="161" customFormat="1" ht="22.5">
      <c r="A12" s="120" t="s">
        <v>42</v>
      </c>
      <c r="B12" s="160"/>
      <c r="C12" s="122">
        <f>351/2</f>
        <v>175.5</v>
      </c>
      <c r="D12" s="122">
        <f>1393/2</f>
        <v>696.5</v>
      </c>
      <c r="E12" s="122">
        <f>429/2</f>
        <v>214.5</v>
      </c>
      <c r="F12" s="122">
        <f>Table3813[[#This Row],[Column10]]</f>
        <v>214.5</v>
      </c>
      <c r="G12" s="122">
        <f>Table3813[[#This Row],[Column10]]</f>
        <v>214.5</v>
      </c>
      <c r="H12" s="122">
        <f>425/2</f>
        <v>212.5</v>
      </c>
    </row>
    <row r="13" spans="1:11" s="162" customFormat="1" ht="22.5">
      <c r="A13" s="120" t="s">
        <v>96</v>
      </c>
      <c r="B13" s="185"/>
      <c r="C13" s="177">
        <f>Table35[[#This Row],[Column3]]</f>
        <v>1119.5</v>
      </c>
      <c r="D13" s="177">
        <f>Table3813[[#This Row],[Column3]]</f>
        <v>1119.5</v>
      </c>
      <c r="E13" s="177">
        <f>Table3813[[#This Row],[Column3]]</f>
        <v>1119.5</v>
      </c>
      <c r="F13" s="177">
        <f>Table3813[[#This Row],[Column3]]</f>
        <v>1119.5</v>
      </c>
      <c r="G13" s="177">
        <f>Table3813[[#This Row],[Column3]]</f>
        <v>1119.5</v>
      </c>
      <c r="H13" s="177">
        <f>Table3813[[#This Row],[Column3]]</f>
        <v>1119.5</v>
      </c>
    </row>
    <row r="14" spans="1:11" s="161" customFormat="1" ht="22.5">
      <c r="A14" s="120" t="s">
        <v>205</v>
      </c>
      <c r="B14" s="163"/>
      <c r="C14" s="122">
        <f>C34</f>
        <v>221</v>
      </c>
      <c r="D14" s="122">
        <f>C34</f>
        <v>221</v>
      </c>
      <c r="E14" s="122">
        <f>C34</f>
        <v>221</v>
      </c>
      <c r="F14" s="122">
        <f>C34</f>
        <v>221</v>
      </c>
      <c r="G14" s="122">
        <f>C34</f>
        <v>221</v>
      </c>
      <c r="H14" s="122">
        <f>C34</f>
        <v>221</v>
      </c>
    </row>
    <row r="15" spans="1:11" ht="24.95">
      <c r="A15" s="113" t="s">
        <v>98</v>
      </c>
      <c r="B15" s="164"/>
      <c r="C15" s="165"/>
      <c r="D15" s="165"/>
      <c r="E15" s="165"/>
      <c r="F15" s="165"/>
      <c r="G15" s="165"/>
      <c r="H15" s="165"/>
    </row>
    <row r="16" spans="1:11" s="161" customFormat="1" ht="22.5">
      <c r="A16" s="120" t="s">
        <v>50</v>
      </c>
      <c r="B16" s="163"/>
      <c r="C16" s="122">
        <v>957</v>
      </c>
      <c r="D16" s="122">
        <v>1368</v>
      </c>
      <c r="E16" s="122">
        <f>'New Brunswick Graduate pg 2'!C16</f>
        <v>929</v>
      </c>
      <c r="F16" s="122">
        <v>927</v>
      </c>
      <c r="G16" s="122">
        <v>1170</v>
      </c>
      <c r="H16" s="122">
        <f>Table3813[[#This Row],[Column10]]</f>
        <v>929</v>
      </c>
    </row>
    <row r="17" spans="1:8" s="161" customFormat="1" ht="45">
      <c r="A17" s="120" t="s">
        <v>51</v>
      </c>
      <c r="B17" s="163"/>
      <c r="C17" s="122">
        <v>1624</v>
      </c>
      <c r="D17" s="122">
        <v>2073</v>
      </c>
      <c r="E17" s="122">
        <f>'New Brunswick Graduate pg 2'!C17</f>
        <v>1595</v>
      </c>
      <c r="F17" s="122">
        <v>1595</v>
      </c>
      <c r="G17" s="122">
        <v>1729</v>
      </c>
      <c r="H17" s="122">
        <f>Table3813[[#This Row],[Column10]]</f>
        <v>1595</v>
      </c>
    </row>
    <row r="18" spans="1:8" s="161" customFormat="1" ht="22.5">
      <c r="A18" s="120" t="s">
        <v>204</v>
      </c>
      <c r="B18" s="163"/>
      <c r="C18" s="122">
        <f>642/2</f>
        <v>321</v>
      </c>
      <c r="D18" s="122">
        <f>954/2</f>
        <v>477</v>
      </c>
      <c r="E18" s="122">
        <f>642/2</f>
        <v>321</v>
      </c>
      <c r="F18" s="122">
        <f>Table3813[[#This Row],[Column3]]</f>
        <v>321</v>
      </c>
      <c r="G18" s="122">
        <f>Table3813[[#This Row],[Column3]]</f>
        <v>321</v>
      </c>
      <c r="H18" s="122">
        <f>Table3813[[#This Row],[Column3]]</f>
        <v>321</v>
      </c>
    </row>
    <row r="19" spans="1:8" s="161" customFormat="1" ht="22.5">
      <c r="A19" s="120" t="s">
        <v>42</v>
      </c>
      <c r="B19" s="163"/>
      <c r="C19" s="122">
        <f>202/2</f>
        <v>101</v>
      </c>
      <c r="D19" s="122">
        <f>968/2</f>
        <v>484</v>
      </c>
      <c r="E19" s="122">
        <f>219/2</f>
        <v>109.5</v>
      </c>
      <c r="F19" s="122">
        <f>Table3813[[#This Row],[Column10]]</f>
        <v>109.5</v>
      </c>
      <c r="G19" s="122">
        <f>Table3813[[#This Row],[Column10]]</f>
        <v>109.5</v>
      </c>
      <c r="H19" s="122">
        <f>210/2</f>
        <v>105</v>
      </c>
    </row>
    <row r="20" spans="1:8" s="161" customFormat="1" ht="22.5">
      <c r="A20" s="120" t="s">
        <v>96</v>
      </c>
      <c r="B20" s="189"/>
      <c r="C20" s="177">
        <f>'New Brunswick Graduate pg 1.'!C20</f>
        <v>329.5</v>
      </c>
      <c r="D20" s="177">
        <f>Table3813[[#This Row],[Column3]]</f>
        <v>329.5</v>
      </c>
      <c r="E20" s="177">
        <f>Table3813[[#This Row],[Column3]]</f>
        <v>329.5</v>
      </c>
      <c r="F20" s="177">
        <f>Table3813[[#This Row],[Column3]]</f>
        <v>329.5</v>
      </c>
      <c r="G20" s="177">
        <f>Table3813[[#This Row],[Column3]]</f>
        <v>329.5</v>
      </c>
      <c r="H20" s="177">
        <f>Table3813[[#This Row],[Column3]]</f>
        <v>329.5</v>
      </c>
    </row>
    <row r="21" spans="1:8" ht="22.5">
      <c r="A21" s="120" t="s">
        <v>218</v>
      </c>
      <c r="B21" s="167"/>
      <c r="C21" s="122">
        <v>20</v>
      </c>
      <c r="D21" s="122">
        <v>20</v>
      </c>
      <c r="E21" s="122">
        <v>20</v>
      </c>
      <c r="F21" s="122">
        <v>20</v>
      </c>
      <c r="G21" s="122">
        <v>20</v>
      </c>
      <c r="H21" s="122">
        <v>20</v>
      </c>
    </row>
    <row r="22" spans="1:8" ht="45">
      <c r="A22" s="120" t="s">
        <v>206</v>
      </c>
      <c r="B22" s="132"/>
      <c r="C22" s="151" t="s">
        <v>100</v>
      </c>
      <c r="D22" s="151" t="s">
        <v>100</v>
      </c>
      <c r="E22" s="151" t="s">
        <v>100</v>
      </c>
      <c r="F22" s="151" t="s">
        <v>100</v>
      </c>
      <c r="G22" s="151" t="s">
        <v>100</v>
      </c>
      <c r="H22" s="151" t="s">
        <v>100</v>
      </c>
    </row>
    <row r="23" spans="1:8" ht="24.95">
      <c r="A23" s="119" t="s">
        <v>101</v>
      </c>
      <c r="B23" s="144" t="s">
        <v>59</v>
      </c>
      <c r="C23" s="145">
        <f t="shared" ref="C23:C32" si="3">C24-7.5</f>
        <v>138.5</v>
      </c>
      <c r="D23" s="168"/>
      <c r="E23" s="168"/>
      <c r="F23" s="168"/>
      <c r="G23" s="168"/>
      <c r="H23" s="168"/>
    </row>
    <row r="24" spans="1:8" ht="18">
      <c r="A24" s="259"/>
      <c r="B24" s="144">
        <v>2</v>
      </c>
      <c r="C24" s="145">
        <f t="shared" si="3"/>
        <v>146</v>
      </c>
      <c r="D24" s="256"/>
      <c r="E24" s="256"/>
      <c r="F24" s="256"/>
      <c r="G24" s="256"/>
      <c r="H24" s="256"/>
    </row>
    <row r="25" spans="1:8" ht="18">
      <c r="A25" s="259"/>
      <c r="B25" s="144">
        <v>3</v>
      </c>
      <c r="C25" s="145">
        <f t="shared" si="3"/>
        <v>153.5</v>
      </c>
      <c r="D25" s="134"/>
      <c r="E25" s="134"/>
      <c r="F25" s="261"/>
      <c r="G25" s="261"/>
      <c r="H25" s="134"/>
    </row>
    <row r="26" spans="1:8" ht="18">
      <c r="A26" s="259"/>
      <c r="B26" s="144">
        <v>4</v>
      </c>
      <c r="C26" s="145">
        <f t="shared" si="3"/>
        <v>161</v>
      </c>
      <c r="D26" s="257"/>
      <c r="E26" s="260"/>
      <c r="F26" s="260"/>
      <c r="G26" s="260"/>
      <c r="H26" s="260"/>
    </row>
    <row r="27" spans="1:8" ht="18">
      <c r="A27" s="132"/>
      <c r="B27" s="144">
        <v>5</v>
      </c>
      <c r="C27" s="145">
        <f t="shared" si="3"/>
        <v>168.5</v>
      </c>
      <c r="D27" s="137"/>
      <c r="E27" s="137"/>
      <c r="F27" s="137"/>
      <c r="G27" s="137"/>
      <c r="H27" s="170"/>
    </row>
    <row r="28" spans="1:8" ht="18">
      <c r="A28" s="132"/>
      <c r="B28" s="144">
        <v>6</v>
      </c>
      <c r="C28" s="145">
        <f t="shared" si="3"/>
        <v>176</v>
      </c>
      <c r="D28" s="137"/>
      <c r="E28" s="137"/>
      <c r="F28" s="137"/>
      <c r="G28" s="137"/>
      <c r="H28" s="170"/>
    </row>
    <row r="29" spans="1:8" ht="18">
      <c r="A29" s="132"/>
      <c r="B29" s="144">
        <v>7</v>
      </c>
      <c r="C29" s="145">
        <f t="shared" si="3"/>
        <v>183.5</v>
      </c>
      <c r="D29" s="137"/>
      <c r="E29" s="137"/>
      <c r="F29" s="137"/>
      <c r="G29" s="137"/>
      <c r="H29" s="170"/>
    </row>
    <row r="30" spans="1:8" ht="20.100000000000001">
      <c r="A30" s="132"/>
      <c r="B30" s="144">
        <v>8</v>
      </c>
      <c r="C30" s="145">
        <f t="shared" si="3"/>
        <v>191</v>
      </c>
      <c r="D30" s="140"/>
      <c r="E30" s="140"/>
      <c r="F30" s="140"/>
      <c r="G30" s="140"/>
      <c r="H30" s="171"/>
    </row>
    <row r="31" spans="1:8" ht="20.100000000000001" hidden="1">
      <c r="A31" s="132"/>
      <c r="B31" s="144">
        <v>9</v>
      </c>
      <c r="C31" s="145">
        <f t="shared" si="3"/>
        <v>198.5</v>
      </c>
      <c r="D31" s="140"/>
      <c r="E31" s="140"/>
      <c r="F31" s="140"/>
      <c r="G31" s="140"/>
      <c r="H31" s="171"/>
    </row>
    <row r="32" spans="1:8" ht="20.100000000000001" hidden="1">
      <c r="A32" s="132"/>
      <c r="B32" s="144">
        <v>10</v>
      </c>
      <c r="C32" s="145">
        <f t="shared" si="3"/>
        <v>206</v>
      </c>
      <c r="D32" s="140"/>
      <c r="E32" s="140"/>
      <c r="F32" s="140"/>
      <c r="G32" s="140"/>
      <c r="H32" s="171"/>
    </row>
    <row r="33" spans="1:15" ht="20.100000000000001" hidden="1">
      <c r="A33" s="132"/>
      <c r="B33" s="144">
        <v>11</v>
      </c>
      <c r="C33" s="145">
        <f>C34-7.5</f>
        <v>213.5</v>
      </c>
      <c r="D33" s="140"/>
      <c r="E33" s="140"/>
      <c r="F33" s="140"/>
      <c r="G33" s="140"/>
      <c r="H33" s="171"/>
    </row>
    <row r="34" spans="1:15" ht="24.95">
      <c r="A34" s="133"/>
      <c r="B34" s="144" t="s">
        <v>66</v>
      </c>
      <c r="C34" s="145">
        <f>'New Brunswick Undergraduate'!C32</f>
        <v>221</v>
      </c>
      <c r="D34" s="140"/>
      <c r="E34" s="140"/>
      <c r="F34" s="140"/>
      <c r="G34" s="140"/>
      <c r="H34" s="171"/>
    </row>
    <row r="37" spans="1:15" ht="15.6">
      <c r="A37" s="281" t="s">
        <v>149</v>
      </c>
      <c r="B37" s="282"/>
      <c r="C37" s="282"/>
      <c r="D37" s="282"/>
      <c r="E37" s="282"/>
      <c r="F37" s="282"/>
      <c r="G37" s="282"/>
      <c r="H37" s="282"/>
      <c r="I37" s="282"/>
      <c r="J37" s="282"/>
      <c r="K37" s="282"/>
      <c r="L37" s="252"/>
      <c r="M37" s="252"/>
      <c r="N37" s="252"/>
      <c r="O37" s="250"/>
    </row>
    <row r="38" spans="1:15" ht="15.6">
      <c r="A38" s="279" t="s">
        <v>150</v>
      </c>
      <c r="B38" s="280"/>
      <c r="C38" s="280"/>
      <c r="D38" s="280"/>
      <c r="E38" s="280"/>
      <c r="F38" s="280"/>
      <c r="G38" s="280"/>
      <c r="H38" s="280"/>
      <c r="I38" s="280"/>
      <c r="J38" s="280"/>
      <c r="K38" s="280"/>
      <c r="L38" s="249"/>
      <c r="M38" s="249"/>
      <c r="N38" s="249"/>
      <c r="O38" s="251"/>
    </row>
    <row r="39" spans="1:15" ht="15.6">
      <c r="A39" s="279" t="s">
        <v>219</v>
      </c>
      <c r="B39" s="280"/>
      <c r="C39" s="280"/>
      <c r="D39" s="280"/>
      <c r="E39" s="280"/>
      <c r="F39" s="280"/>
      <c r="G39" s="280"/>
      <c r="H39" s="280"/>
      <c r="I39" s="280"/>
      <c r="J39" s="280"/>
      <c r="K39" s="280"/>
      <c r="L39" s="249"/>
      <c r="M39" s="249"/>
      <c r="N39" s="249"/>
      <c r="O39" s="251"/>
    </row>
    <row r="40" spans="1:15" ht="15.6">
      <c r="A40" s="279" t="s">
        <v>220</v>
      </c>
      <c r="B40" s="280"/>
      <c r="C40" s="280"/>
      <c r="D40" s="280"/>
      <c r="E40" s="280"/>
      <c r="F40" s="280"/>
      <c r="G40" s="280"/>
      <c r="H40" s="280"/>
      <c r="I40" s="280"/>
      <c r="J40" s="280"/>
      <c r="K40" s="280"/>
      <c r="L40" s="249"/>
      <c r="M40" s="249"/>
      <c r="N40" s="249"/>
      <c r="O40" s="251"/>
    </row>
    <row r="41" spans="1:15" ht="15.6">
      <c r="A41" s="279" t="s">
        <v>221</v>
      </c>
      <c r="B41" s="280"/>
      <c r="C41" s="280"/>
      <c r="D41" s="280"/>
      <c r="E41" s="280"/>
      <c r="F41" s="280"/>
      <c r="G41" s="280"/>
      <c r="H41" s="280"/>
      <c r="I41" s="280"/>
      <c r="J41" s="280"/>
      <c r="K41" s="280"/>
      <c r="L41" s="249"/>
      <c r="M41" s="249"/>
      <c r="N41" s="249"/>
      <c r="O41" s="251"/>
    </row>
    <row r="42" spans="1:15" ht="15.6">
      <c r="A42" s="279" t="s">
        <v>153</v>
      </c>
      <c r="B42" s="280"/>
      <c r="C42" s="280"/>
      <c r="D42" s="280"/>
      <c r="E42" s="280"/>
      <c r="F42" s="280"/>
      <c r="G42" s="280"/>
      <c r="H42" s="280"/>
      <c r="I42" s="280"/>
      <c r="J42" s="280"/>
      <c r="K42" s="280"/>
      <c r="L42" s="249"/>
      <c r="M42" s="249"/>
      <c r="N42" s="249"/>
      <c r="O42" s="251"/>
    </row>
    <row r="43" spans="1:15" ht="15.6">
      <c r="A43" s="279" t="s">
        <v>105</v>
      </c>
      <c r="B43" s="280"/>
      <c r="C43" s="280"/>
      <c r="D43" s="280"/>
      <c r="E43" s="280"/>
      <c r="F43" s="280"/>
      <c r="G43" s="280"/>
      <c r="H43" s="280"/>
      <c r="I43" s="280"/>
      <c r="J43" s="280"/>
      <c r="K43" s="280"/>
      <c r="L43" s="249"/>
      <c r="M43" s="249"/>
      <c r="N43" s="249"/>
      <c r="O43" s="251"/>
    </row>
    <row r="44" spans="1:15" ht="15.6">
      <c r="A44" s="265" t="s">
        <v>222</v>
      </c>
      <c r="B44" s="266"/>
      <c r="C44" s="266"/>
      <c r="D44" s="266"/>
      <c r="E44" s="266"/>
      <c r="F44" s="266"/>
      <c r="G44" s="266"/>
      <c r="H44" s="266"/>
      <c r="I44" s="266"/>
      <c r="J44" s="266"/>
      <c r="K44" s="266"/>
      <c r="L44" s="266"/>
      <c r="M44" s="266"/>
      <c r="N44" s="266"/>
      <c r="O44" s="269"/>
    </row>
    <row r="45" spans="1:15" ht="15.6">
      <c r="A45" s="265" t="s">
        <v>207</v>
      </c>
      <c r="B45" s="266"/>
      <c r="C45" s="266"/>
      <c r="D45" s="266"/>
      <c r="E45" s="266"/>
      <c r="F45" s="266"/>
      <c r="G45" s="266"/>
      <c r="H45" s="266"/>
      <c r="I45" s="266"/>
      <c r="J45" s="266"/>
      <c r="K45" s="266"/>
      <c r="L45" s="249"/>
      <c r="M45" s="249"/>
      <c r="N45" s="249"/>
      <c r="O45" s="251"/>
    </row>
    <row r="46" spans="1:15" ht="15.6">
      <c r="A46" s="270" t="s">
        <v>208</v>
      </c>
      <c r="B46" s="271"/>
      <c r="C46" s="271"/>
      <c r="D46" s="271"/>
      <c r="E46" s="271"/>
      <c r="F46" s="271"/>
      <c r="G46" s="271"/>
      <c r="H46" s="271"/>
      <c r="I46" s="271"/>
      <c r="J46" s="271"/>
      <c r="K46" s="271"/>
      <c r="L46" s="247"/>
      <c r="M46" s="247"/>
      <c r="N46" s="247"/>
      <c r="O46" s="248"/>
    </row>
  </sheetData>
  <mergeCells count="8">
    <mergeCell ref="A40:K40"/>
    <mergeCell ref="A41:K41"/>
    <mergeCell ref="A42:K42"/>
    <mergeCell ref="A43:K43"/>
    <mergeCell ref="A1:H1"/>
    <mergeCell ref="A37:K37"/>
    <mergeCell ref="A38:K38"/>
    <mergeCell ref="A39:K39"/>
  </mergeCells>
  <phoneticPr fontId="44" type="noConversion"/>
  <pageMargins left="0.7" right="0.7" top="0.75" bottom="0.75" header="0.3" footer="0.3"/>
  <pageSetup scale="39" fitToHeight="0" orientation="landscape" horizontalDpi="300" verticalDpi="3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6"/>
  <sheetViews>
    <sheetView showGridLines="0" topLeftCell="A2" zoomScale="60" zoomScaleNormal="60" workbookViewId="0">
      <selection activeCell="A2" sqref="A2"/>
    </sheetView>
  </sheetViews>
  <sheetFormatPr defaultColWidth="9.140625" defaultRowHeight="14.1"/>
  <cols>
    <col min="1" max="1" width="59" style="153" customWidth="1"/>
    <col min="2" max="2" width="13.28515625" style="153" bestFit="1" customWidth="1"/>
    <col min="3" max="4" width="18" style="153" bestFit="1" customWidth="1"/>
    <col min="5" max="5" width="18.85546875" style="153" customWidth="1"/>
    <col min="6" max="6" width="21.28515625" style="153" customWidth="1"/>
    <col min="7" max="7" width="25.5703125" style="153" bestFit="1" customWidth="1"/>
    <col min="8" max="8" width="18" style="153" bestFit="1" customWidth="1"/>
    <col min="9" max="9" width="19" style="153" bestFit="1" customWidth="1"/>
    <col min="10" max="10" width="20.5703125" style="153" bestFit="1" customWidth="1"/>
    <col min="11" max="11" width="24.42578125" style="153" bestFit="1" customWidth="1"/>
    <col min="12" max="12" width="24.42578125" style="153" customWidth="1"/>
    <col min="13" max="13" width="19" style="153" bestFit="1" customWidth="1"/>
    <col min="14" max="16384" width="9.140625" style="153"/>
  </cols>
  <sheetData>
    <row r="1" spans="1:13" ht="18" hidden="1">
      <c r="A1" s="273"/>
      <c r="B1" s="273"/>
      <c r="C1" s="273"/>
      <c r="D1" s="273"/>
      <c r="E1" s="273"/>
      <c r="F1" s="273"/>
      <c r="G1" s="273"/>
      <c r="H1" s="273"/>
      <c r="I1" s="273"/>
      <c r="J1" s="273"/>
      <c r="K1" s="273"/>
      <c r="L1" s="273"/>
      <c r="M1" s="273"/>
    </row>
    <row r="2" spans="1:13" ht="18">
      <c r="A2" s="243" t="s">
        <v>79</v>
      </c>
      <c r="B2" s="246"/>
      <c r="C2" s="95">
        <v>22</v>
      </c>
      <c r="D2" s="96">
        <v>22</v>
      </c>
      <c r="E2" s="104">
        <v>22</v>
      </c>
      <c r="F2" s="96">
        <v>22</v>
      </c>
      <c r="G2" s="96">
        <v>22</v>
      </c>
      <c r="H2" s="96">
        <v>22</v>
      </c>
      <c r="I2" s="96">
        <v>22</v>
      </c>
      <c r="J2" s="96">
        <v>22</v>
      </c>
      <c r="K2" s="96">
        <v>22</v>
      </c>
      <c r="L2" s="96">
        <v>22</v>
      </c>
      <c r="M2" s="96">
        <v>22</v>
      </c>
    </row>
    <row r="3" spans="1:13" ht="18">
      <c r="A3" s="243" t="s">
        <v>80</v>
      </c>
      <c r="B3" s="246"/>
      <c r="C3" s="97" t="s">
        <v>223</v>
      </c>
      <c r="D3" s="97" t="s">
        <v>224</v>
      </c>
      <c r="E3" s="203" t="s">
        <v>225</v>
      </c>
      <c r="F3" s="105" t="s">
        <v>226</v>
      </c>
      <c r="G3" s="105" t="s">
        <v>224</v>
      </c>
      <c r="H3" s="105" t="s">
        <v>224</v>
      </c>
      <c r="I3" s="105" t="s">
        <v>227</v>
      </c>
      <c r="J3" s="105" t="s">
        <v>227</v>
      </c>
      <c r="K3" s="105" t="s">
        <v>227</v>
      </c>
      <c r="L3" s="105" t="s">
        <v>227</v>
      </c>
      <c r="M3" s="105" t="s">
        <v>227</v>
      </c>
    </row>
    <row r="4" spans="1:13" ht="54">
      <c r="A4" s="243" t="s">
        <v>210</v>
      </c>
      <c r="B4" s="246"/>
      <c r="C4" s="97" t="s">
        <v>189</v>
      </c>
      <c r="D4" s="97" t="s">
        <v>228</v>
      </c>
      <c r="E4" s="263" t="s">
        <v>229</v>
      </c>
      <c r="F4" s="97" t="s">
        <v>189</v>
      </c>
      <c r="G4" s="97" t="s">
        <v>230</v>
      </c>
      <c r="H4" s="97" t="s">
        <v>231</v>
      </c>
      <c r="I4" s="97" t="s">
        <v>232</v>
      </c>
      <c r="J4" s="97" t="s">
        <v>233</v>
      </c>
      <c r="K4" s="97" t="s">
        <v>234</v>
      </c>
      <c r="L4" s="97" t="s">
        <v>235</v>
      </c>
      <c r="M4" s="97" t="s">
        <v>235</v>
      </c>
    </row>
    <row r="5" spans="1:13" ht="36">
      <c r="A5" s="246"/>
      <c r="B5" s="246"/>
      <c r="C5" s="100" t="s">
        <v>192</v>
      </c>
      <c r="D5" s="100" t="s">
        <v>236</v>
      </c>
      <c r="E5" s="106" t="s">
        <v>237</v>
      </c>
      <c r="F5" s="100" t="s">
        <v>132</v>
      </c>
      <c r="G5" s="100" t="s">
        <v>238</v>
      </c>
      <c r="H5" s="100" t="s">
        <v>239</v>
      </c>
      <c r="I5" s="100" t="s">
        <v>240</v>
      </c>
      <c r="J5" s="100" t="s">
        <v>241</v>
      </c>
      <c r="K5" s="100" t="s">
        <v>134</v>
      </c>
      <c r="L5" s="97" t="s">
        <v>242</v>
      </c>
      <c r="M5" s="100" t="s">
        <v>243</v>
      </c>
    </row>
    <row r="6" spans="1:13" ht="15.6">
      <c r="A6" s="246"/>
      <c r="B6" s="246"/>
      <c r="C6" s="156"/>
      <c r="D6" s="156"/>
      <c r="E6" s="6"/>
      <c r="F6" s="156"/>
      <c r="G6" s="156"/>
      <c r="H6" s="156"/>
      <c r="I6" s="99"/>
      <c r="J6" s="156"/>
      <c r="K6" s="99"/>
      <c r="L6" s="99"/>
      <c r="M6" s="99"/>
    </row>
    <row r="7" spans="1:13" ht="30" hidden="1" customHeight="1">
      <c r="A7" s="7" t="s">
        <v>21</v>
      </c>
      <c r="B7" s="156" t="s">
        <v>22</v>
      </c>
      <c r="C7" s="156" t="s">
        <v>24</v>
      </c>
      <c r="D7" s="156" t="s">
        <v>25</v>
      </c>
      <c r="E7" s="181" t="s">
        <v>244</v>
      </c>
      <c r="F7" s="156" t="s">
        <v>245</v>
      </c>
      <c r="G7" s="156" t="s">
        <v>246</v>
      </c>
      <c r="H7" s="156" t="s">
        <v>26</v>
      </c>
      <c r="I7" s="156" t="s">
        <v>183</v>
      </c>
      <c r="J7" s="156" t="s">
        <v>27</v>
      </c>
      <c r="K7" s="156" t="s">
        <v>28</v>
      </c>
      <c r="L7" s="156" t="s">
        <v>185</v>
      </c>
      <c r="M7" s="156" t="s">
        <v>142</v>
      </c>
    </row>
    <row r="8" spans="1:13" ht="24.95">
      <c r="A8" s="113" t="s">
        <v>93</v>
      </c>
      <c r="B8" s="159"/>
      <c r="C8" s="159"/>
      <c r="D8" s="159"/>
      <c r="E8" s="159"/>
      <c r="F8" s="159"/>
      <c r="G8" s="159"/>
      <c r="H8" s="159"/>
      <c r="I8" s="159"/>
      <c r="J8" s="159"/>
      <c r="K8" s="159"/>
      <c r="L8" s="159"/>
      <c r="M8" s="159"/>
    </row>
    <row r="9" spans="1:13" s="161" customFormat="1" ht="42.95">
      <c r="A9" s="120" t="s">
        <v>202</v>
      </c>
      <c r="B9" s="160"/>
      <c r="C9" s="122">
        <f>32712/2</f>
        <v>16356</v>
      </c>
      <c r="D9" s="122">
        <f>Table38[[#This Row],[Column4]]</f>
        <v>16356</v>
      </c>
      <c r="E9" s="175">
        <f>Table38[[#This Row],[Column4]]</f>
        <v>16356</v>
      </c>
      <c r="F9" s="122">
        <f>Table38[[#This Row],[Column4]]</f>
        <v>16356</v>
      </c>
      <c r="G9" s="122">
        <f>Table38[[#This Row],[Column4]]</f>
        <v>16356</v>
      </c>
      <c r="H9" s="122">
        <f>H16*12</f>
        <v>15444</v>
      </c>
      <c r="I9" s="122">
        <f>Table38[[#This Row],[Column4]]</f>
        <v>16356</v>
      </c>
      <c r="J9" s="122">
        <f>J16*12</f>
        <v>14100</v>
      </c>
      <c r="K9" s="122">
        <f t="shared" ref="K9:L10" si="0">K16*12</f>
        <v>17064</v>
      </c>
      <c r="L9" s="122">
        <f t="shared" si="0"/>
        <v>16356</v>
      </c>
      <c r="M9" s="122">
        <f t="shared" ref="M9" si="1">M16*12</f>
        <v>16356</v>
      </c>
    </row>
    <row r="10" spans="1:13" s="161" customFormat="1" ht="42.95">
      <c r="A10" s="120" t="s">
        <v>203</v>
      </c>
      <c r="B10" s="160"/>
      <c r="C10" s="122">
        <f>57336/2</f>
        <v>28668</v>
      </c>
      <c r="D10" s="122">
        <f>50280/2</f>
        <v>25140</v>
      </c>
      <c r="E10" s="175">
        <f>E17*12</f>
        <v>16356</v>
      </c>
      <c r="F10" s="122">
        <f t="shared" ref="F10:G10" si="2">F17*12</f>
        <v>16356</v>
      </c>
      <c r="G10" s="122">
        <f t="shared" si="2"/>
        <v>16356</v>
      </c>
      <c r="H10" s="122">
        <f>H17*12</f>
        <v>22020</v>
      </c>
      <c r="I10" s="122">
        <f>I17*12</f>
        <v>16356</v>
      </c>
      <c r="J10" s="122">
        <f>J17*12</f>
        <v>14100</v>
      </c>
      <c r="K10" s="122">
        <f t="shared" si="0"/>
        <v>17064</v>
      </c>
      <c r="L10" s="122">
        <f>L17*12</f>
        <v>16356</v>
      </c>
      <c r="M10" s="122">
        <f>Table38[[#This Row],[Column6]]</f>
        <v>22020</v>
      </c>
    </row>
    <row r="11" spans="1:13" s="161" customFormat="1" ht="22.5">
      <c r="A11" s="184" t="s">
        <v>204</v>
      </c>
      <c r="B11" s="160"/>
      <c r="C11" s="126">
        <f>1959/2</f>
        <v>979.5</v>
      </c>
      <c r="D11" s="126">
        <f>Table38[[#This Row],[Column4]]</f>
        <v>979.5</v>
      </c>
      <c r="E11" s="126">
        <f>Table38[[#This Row],[Column4]]</f>
        <v>979.5</v>
      </c>
      <c r="F11" s="126">
        <f>Table38[[#This Row],[Column4]]</f>
        <v>979.5</v>
      </c>
      <c r="G11" s="126"/>
      <c r="H11" s="126">
        <f>Table38[[#This Row],[Column4]]</f>
        <v>979.5</v>
      </c>
      <c r="I11" s="126"/>
      <c r="J11" s="126"/>
      <c r="K11" s="126"/>
      <c r="L11" s="126"/>
      <c r="M11" s="126">
        <f>Table38[[#This Row],[Column4]]</f>
        <v>979.5</v>
      </c>
    </row>
    <row r="12" spans="1:13" s="161" customFormat="1" ht="22.5">
      <c r="A12" s="120" t="s">
        <v>42</v>
      </c>
      <c r="B12" s="160"/>
      <c r="C12" s="122">
        <f>1189/2</f>
        <v>594.5</v>
      </c>
      <c r="D12" s="122">
        <f>Table38[[#This Row],[Column4]]</f>
        <v>594.5</v>
      </c>
      <c r="E12" s="122">
        <f>Table38[[#This Row],[Column4]]</f>
        <v>594.5</v>
      </c>
      <c r="F12" s="122">
        <f>Table38[[#This Row],[Column4]]</f>
        <v>594.5</v>
      </c>
      <c r="G12" s="122"/>
      <c r="H12" s="122">
        <f>Table38[[#This Row],[Column4]]</f>
        <v>594.5</v>
      </c>
      <c r="I12" s="122"/>
      <c r="J12" s="122"/>
      <c r="K12" s="122"/>
      <c r="L12" s="122"/>
      <c r="M12" s="122">
        <f>Table38[[#This Row],[Column4]]</f>
        <v>594.5</v>
      </c>
    </row>
    <row r="13" spans="1:13" s="162" customFormat="1" ht="22.5">
      <c r="A13" s="120" t="s">
        <v>96</v>
      </c>
      <c r="B13" s="185"/>
      <c r="C13" s="177">
        <f>Table35[[#This Row],[Column3]]</f>
        <v>1119.5</v>
      </c>
      <c r="D13" s="177">
        <f>Table38[[#This Row],[Column4]]</f>
        <v>1119.5</v>
      </c>
      <c r="E13" s="177">
        <f>Table38[[#This Row],[Column4]]</f>
        <v>1119.5</v>
      </c>
      <c r="F13" s="177">
        <f>Table38[[#This Row],[Column4]]</f>
        <v>1119.5</v>
      </c>
      <c r="G13" s="177">
        <f>Table38[[#This Row],[Column4]]</f>
        <v>1119.5</v>
      </c>
      <c r="H13" s="177">
        <f>Table38[[#This Row],[Column4]]</f>
        <v>1119.5</v>
      </c>
      <c r="I13" s="177">
        <f>Table38[[#This Row],[Column4]]</f>
        <v>1119.5</v>
      </c>
      <c r="J13" s="177">
        <f>Table38[[#This Row],[Column4]]</f>
        <v>1119.5</v>
      </c>
      <c r="K13" s="177">
        <f>Table38[[#This Row],[Column4]]</f>
        <v>1119.5</v>
      </c>
      <c r="L13" s="177">
        <f>Table38[[#This Row],[Column4]]</f>
        <v>1119.5</v>
      </c>
      <c r="M13" s="177">
        <f>Table38[[#This Row],[Column4]]</f>
        <v>1119.5</v>
      </c>
    </row>
    <row r="14" spans="1:13" s="161" customFormat="1" ht="22.5">
      <c r="A14" s="120" t="s">
        <v>205</v>
      </c>
      <c r="B14" s="163"/>
      <c r="C14" s="122">
        <f>C34</f>
        <v>221</v>
      </c>
      <c r="D14" s="122">
        <f>C34</f>
        <v>221</v>
      </c>
      <c r="E14" s="175">
        <f>C34</f>
        <v>221</v>
      </c>
      <c r="F14" s="122">
        <f>C34</f>
        <v>221</v>
      </c>
      <c r="G14" s="122">
        <f>C34</f>
        <v>221</v>
      </c>
      <c r="H14" s="122">
        <f>C34</f>
        <v>221</v>
      </c>
      <c r="I14" s="122">
        <f>C34</f>
        <v>221</v>
      </c>
      <c r="J14" s="122">
        <f>C34</f>
        <v>221</v>
      </c>
      <c r="K14" s="122">
        <f>C34</f>
        <v>221</v>
      </c>
      <c r="L14" s="122">
        <f>C34</f>
        <v>221</v>
      </c>
      <c r="M14" s="122">
        <f>C34</f>
        <v>221</v>
      </c>
    </row>
    <row r="15" spans="1:13" ht="24.95">
      <c r="A15" s="113" t="s">
        <v>98</v>
      </c>
      <c r="B15" s="164"/>
      <c r="C15" s="165"/>
      <c r="D15" s="165"/>
      <c r="E15" s="159"/>
      <c r="F15" s="165"/>
      <c r="G15" s="165"/>
      <c r="H15" s="165"/>
      <c r="I15" s="165"/>
      <c r="J15" s="165"/>
      <c r="K15" s="165"/>
      <c r="L15" s="165"/>
      <c r="M15" s="165"/>
    </row>
    <row r="16" spans="1:13" s="161" customFormat="1" ht="22.5">
      <c r="A16" s="120" t="s">
        <v>50</v>
      </c>
      <c r="B16" s="163"/>
      <c r="C16" s="122">
        <v>1363</v>
      </c>
      <c r="D16" s="122">
        <f>Table38[[#This Row],[Column4]]</f>
        <v>1363</v>
      </c>
      <c r="E16" s="175">
        <f>Table38[[#This Row],[Column4]]</f>
        <v>1363</v>
      </c>
      <c r="F16" s="122">
        <f>Table38[[#This Row],[Column4]]</f>
        <v>1363</v>
      </c>
      <c r="G16" s="122">
        <f>Table38[[#This Row],[Column4]]</f>
        <v>1363</v>
      </c>
      <c r="H16" s="122">
        <v>1287</v>
      </c>
      <c r="I16" s="122">
        <f>Table38[[#This Row],[Column4]]</f>
        <v>1363</v>
      </c>
      <c r="J16" s="122">
        <v>1175</v>
      </c>
      <c r="K16" s="122">
        <v>1422</v>
      </c>
      <c r="L16" s="122">
        <f>Table38[[#This Row],[Column4]]</f>
        <v>1363</v>
      </c>
      <c r="M16" s="122">
        <f>Table38[[#This Row],[Column4]]</f>
        <v>1363</v>
      </c>
    </row>
    <row r="17" spans="1:13" s="161" customFormat="1" ht="45">
      <c r="A17" s="120" t="s">
        <v>51</v>
      </c>
      <c r="B17" s="163"/>
      <c r="C17" s="122">
        <v>2389</v>
      </c>
      <c r="D17" s="122">
        <v>2095</v>
      </c>
      <c r="E17" s="175">
        <f>E16</f>
        <v>1363</v>
      </c>
      <c r="F17" s="122">
        <f>F16</f>
        <v>1363</v>
      </c>
      <c r="G17" s="122">
        <f>G16</f>
        <v>1363</v>
      </c>
      <c r="H17" s="122">
        <v>1835</v>
      </c>
      <c r="I17" s="122">
        <f>I16</f>
        <v>1363</v>
      </c>
      <c r="J17" s="122">
        <f>J16</f>
        <v>1175</v>
      </c>
      <c r="K17" s="122">
        <f>K16</f>
        <v>1422</v>
      </c>
      <c r="L17" s="122">
        <f>L16</f>
        <v>1363</v>
      </c>
      <c r="M17" s="122">
        <v>1835</v>
      </c>
    </row>
    <row r="18" spans="1:13" s="161" customFormat="1" ht="22.5">
      <c r="A18" s="120" t="s">
        <v>204</v>
      </c>
      <c r="B18" s="163"/>
      <c r="C18" s="122">
        <f>650/2</f>
        <v>325</v>
      </c>
      <c r="D18" s="122">
        <f>Table38[[#This Row],[Column4]]</f>
        <v>325</v>
      </c>
      <c r="E18" s="122">
        <f>Table38[[#This Row],[Column4]]</f>
        <v>325</v>
      </c>
      <c r="F18" s="122">
        <f>Table38[[#This Row],[Column4]]</f>
        <v>325</v>
      </c>
      <c r="G18" s="122"/>
      <c r="H18" s="122">
        <f>Table38[[#This Row],[Column4]]</f>
        <v>325</v>
      </c>
      <c r="I18" s="122"/>
      <c r="J18" s="122"/>
      <c r="K18" s="122"/>
      <c r="L18" s="122"/>
      <c r="M18" s="122">
        <f>Table38[[#This Row],[Column4]]</f>
        <v>325</v>
      </c>
    </row>
    <row r="19" spans="1:13" s="161" customFormat="1" ht="22.5">
      <c r="A19" s="120" t="s">
        <v>42</v>
      </c>
      <c r="B19" s="163"/>
      <c r="C19" s="122">
        <f>563/2</f>
        <v>281.5</v>
      </c>
      <c r="D19" s="122">
        <f>Table38[[#This Row],[Column4]]</f>
        <v>281.5</v>
      </c>
      <c r="E19" s="122">
        <f>Table38[[#This Row],[Column4]]</f>
        <v>281.5</v>
      </c>
      <c r="F19" s="122">
        <f>Table38[[#This Row],[Column4]]</f>
        <v>281.5</v>
      </c>
      <c r="G19" s="122"/>
      <c r="H19" s="122">
        <f>Table38[[#This Row],[Column4]]</f>
        <v>281.5</v>
      </c>
      <c r="I19" s="122"/>
      <c r="J19" s="122"/>
      <c r="K19" s="122"/>
      <c r="L19" s="122"/>
      <c r="M19" s="122">
        <f>Table38[[#This Row],[Column4]]</f>
        <v>281.5</v>
      </c>
    </row>
    <row r="20" spans="1:13" s="161" customFormat="1" ht="22.5">
      <c r="A20" s="120" t="s">
        <v>96</v>
      </c>
      <c r="B20" s="189"/>
      <c r="C20" s="177">
        <f>Table35[[#This Row],[Column3]]</f>
        <v>329.5</v>
      </c>
      <c r="D20" s="177">
        <f>Table38[[#This Row],[Column4]]</f>
        <v>329.5</v>
      </c>
      <c r="E20" s="177">
        <f>Table38[[#This Row],[Column4]]</f>
        <v>329.5</v>
      </c>
      <c r="F20" s="177">
        <f>Table38[[#This Row],[Column4]]</f>
        <v>329.5</v>
      </c>
      <c r="G20" s="177">
        <f>Table38[[#This Row],[Column4]]</f>
        <v>329.5</v>
      </c>
      <c r="H20" s="177">
        <f>Table38[[#This Row],[Column4]]</f>
        <v>329.5</v>
      </c>
      <c r="I20" s="177">
        <f>Table38[[#This Row],[Column4]]</f>
        <v>329.5</v>
      </c>
      <c r="J20" s="177">
        <f>Table38[[#This Row],[Column4]]</f>
        <v>329.5</v>
      </c>
      <c r="K20" s="177">
        <f>Table38[[#This Row],[Column4]]</f>
        <v>329.5</v>
      </c>
      <c r="L20" s="177">
        <f>Table38[[#This Row],[Column4]]</f>
        <v>329.5</v>
      </c>
      <c r="M20" s="177">
        <f>Table38[[#This Row],[Column4]]</f>
        <v>329.5</v>
      </c>
    </row>
    <row r="21" spans="1:13" ht="22.5">
      <c r="A21" s="120" t="s">
        <v>218</v>
      </c>
      <c r="B21" s="167"/>
      <c r="C21" s="122">
        <v>20</v>
      </c>
      <c r="D21" s="122">
        <v>20</v>
      </c>
      <c r="E21" s="175">
        <v>20</v>
      </c>
      <c r="F21" s="122">
        <v>20</v>
      </c>
      <c r="G21" s="122">
        <v>20</v>
      </c>
      <c r="H21" s="122">
        <v>20</v>
      </c>
      <c r="I21" s="122">
        <v>20</v>
      </c>
      <c r="J21" s="122">
        <v>20</v>
      </c>
      <c r="K21" s="122">
        <v>20</v>
      </c>
      <c r="L21" s="122">
        <v>20</v>
      </c>
      <c r="M21" s="122">
        <v>20</v>
      </c>
    </row>
    <row r="22" spans="1:13" ht="45">
      <c r="A22" s="120" t="s">
        <v>206</v>
      </c>
      <c r="B22" s="132"/>
      <c r="C22" s="151" t="s">
        <v>100</v>
      </c>
      <c r="D22" s="151" t="s">
        <v>100</v>
      </c>
      <c r="E22" s="151" t="s">
        <v>100</v>
      </c>
      <c r="F22" s="151" t="s">
        <v>100</v>
      </c>
      <c r="G22" s="151" t="s">
        <v>100</v>
      </c>
      <c r="H22" s="151" t="s">
        <v>100</v>
      </c>
      <c r="I22" s="151" t="s">
        <v>100</v>
      </c>
      <c r="J22" s="151" t="s">
        <v>100</v>
      </c>
      <c r="K22" s="151" t="s">
        <v>100</v>
      </c>
      <c r="L22" s="151" t="s">
        <v>100</v>
      </c>
      <c r="M22" s="151" t="s">
        <v>100</v>
      </c>
    </row>
    <row r="23" spans="1:13" ht="24.95">
      <c r="A23" s="119" t="s">
        <v>101</v>
      </c>
      <c r="B23" s="144" t="s">
        <v>59</v>
      </c>
      <c r="C23" s="145">
        <f t="shared" ref="C23:C32" si="3">C24-7.5</f>
        <v>138.5</v>
      </c>
      <c r="D23" s="168"/>
      <c r="E23" s="168"/>
      <c r="F23" s="168"/>
      <c r="G23" s="168"/>
      <c r="H23" s="168"/>
      <c r="I23" s="168"/>
      <c r="J23" s="168"/>
      <c r="K23" s="168"/>
      <c r="L23" s="168"/>
      <c r="M23" s="168"/>
    </row>
    <row r="24" spans="1:13" ht="18">
      <c r="A24" s="259"/>
      <c r="B24" s="144">
        <v>2</v>
      </c>
      <c r="C24" s="145">
        <f t="shared" si="3"/>
        <v>146</v>
      </c>
      <c r="D24" s="256"/>
      <c r="E24" s="256"/>
      <c r="F24" s="256"/>
      <c r="G24" s="256"/>
      <c r="H24" s="256"/>
      <c r="I24" s="256"/>
      <c r="J24" s="256"/>
      <c r="K24" s="256"/>
      <c r="L24" s="256"/>
      <c r="M24" s="256"/>
    </row>
    <row r="25" spans="1:13" ht="18">
      <c r="A25" s="259"/>
      <c r="B25" s="144">
        <v>3</v>
      </c>
      <c r="C25" s="145">
        <f t="shared" si="3"/>
        <v>153.5</v>
      </c>
      <c r="D25" s="134"/>
      <c r="E25" s="134"/>
      <c r="F25" s="134"/>
      <c r="G25" s="134"/>
      <c r="H25" s="134"/>
      <c r="I25" s="261"/>
      <c r="J25" s="134"/>
      <c r="K25" s="134"/>
      <c r="L25" s="134"/>
      <c r="M25" s="134"/>
    </row>
    <row r="26" spans="1:13" ht="18">
      <c r="A26" s="259"/>
      <c r="B26" s="144">
        <v>4</v>
      </c>
      <c r="C26" s="145">
        <f t="shared" si="3"/>
        <v>161</v>
      </c>
      <c r="D26" s="260"/>
      <c r="E26" s="260"/>
      <c r="F26" s="260"/>
      <c r="G26" s="260"/>
      <c r="H26" s="260"/>
      <c r="I26" s="260"/>
      <c r="J26" s="257"/>
      <c r="K26" s="260"/>
      <c r="L26" s="260"/>
      <c r="M26" s="260"/>
    </row>
    <row r="27" spans="1:13" ht="18">
      <c r="A27" s="132"/>
      <c r="B27" s="144">
        <v>5</v>
      </c>
      <c r="C27" s="145">
        <f t="shared" si="3"/>
        <v>168.5</v>
      </c>
      <c r="D27" s="135"/>
      <c r="E27" s="137"/>
      <c r="F27" s="137"/>
      <c r="G27" s="137"/>
      <c r="H27" s="136"/>
      <c r="I27" s="137"/>
      <c r="J27" s="137"/>
      <c r="K27" s="137"/>
      <c r="L27" s="137"/>
      <c r="M27" s="137"/>
    </row>
    <row r="28" spans="1:13" ht="18">
      <c r="A28" s="132"/>
      <c r="B28" s="144">
        <v>6</v>
      </c>
      <c r="C28" s="145">
        <f t="shared" si="3"/>
        <v>176</v>
      </c>
      <c r="D28" s="135"/>
      <c r="E28" s="137"/>
      <c r="F28" s="137"/>
      <c r="G28" s="137"/>
      <c r="H28" s="137"/>
      <c r="I28" s="137"/>
      <c r="J28" s="137"/>
      <c r="K28" s="137"/>
      <c r="L28" s="137"/>
      <c r="M28" s="137"/>
    </row>
    <row r="29" spans="1:13" ht="20.100000000000001">
      <c r="A29" s="132"/>
      <c r="B29" s="144">
        <v>7</v>
      </c>
      <c r="C29" s="145">
        <f t="shared" si="3"/>
        <v>183.5</v>
      </c>
      <c r="D29" s="139"/>
      <c r="E29" s="137"/>
      <c r="F29" s="137"/>
      <c r="G29" s="137"/>
      <c r="H29" s="140"/>
      <c r="I29" s="137"/>
      <c r="J29" s="137"/>
      <c r="K29" s="137"/>
      <c r="L29" s="137"/>
      <c r="M29" s="137"/>
    </row>
    <row r="30" spans="1:13" ht="20.100000000000001">
      <c r="A30" s="132"/>
      <c r="B30" s="144">
        <v>8</v>
      </c>
      <c r="C30" s="145">
        <f t="shared" si="3"/>
        <v>191</v>
      </c>
      <c r="D30" s="139"/>
      <c r="E30" s="140"/>
      <c r="F30" s="140"/>
      <c r="G30" s="140"/>
      <c r="H30" s="140"/>
      <c r="I30" s="140"/>
      <c r="J30" s="140"/>
      <c r="K30" s="140"/>
      <c r="L30" s="140"/>
      <c r="M30" s="140"/>
    </row>
    <row r="31" spans="1:13" ht="20.25" hidden="1" customHeight="1">
      <c r="A31" s="132"/>
      <c r="B31" s="144">
        <v>9</v>
      </c>
      <c r="C31" s="145">
        <f t="shared" si="3"/>
        <v>198.5</v>
      </c>
      <c r="D31" s="139"/>
      <c r="E31" s="140"/>
      <c r="F31" s="140"/>
      <c r="G31" s="140"/>
      <c r="H31" s="140"/>
      <c r="I31" s="140"/>
      <c r="J31" s="140"/>
      <c r="K31" s="140"/>
      <c r="L31" s="140"/>
      <c r="M31" s="140"/>
    </row>
    <row r="32" spans="1:13" ht="20.25" hidden="1" customHeight="1">
      <c r="A32" s="132"/>
      <c r="B32" s="144">
        <v>10</v>
      </c>
      <c r="C32" s="145">
        <f t="shared" si="3"/>
        <v>206</v>
      </c>
      <c r="D32" s="139"/>
      <c r="E32" s="140"/>
      <c r="F32" s="140"/>
      <c r="G32" s="140"/>
      <c r="H32" s="140"/>
      <c r="I32" s="140"/>
      <c r="J32" s="140"/>
      <c r="K32" s="140"/>
      <c r="L32" s="140"/>
      <c r="M32" s="140"/>
    </row>
    <row r="33" spans="1:14" ht="20.25" hidden="1" customHeight="1">
      <c r="A33" s="132"/>
      <c r="B33" s="144">
        <v>11</v>
      </c>
      <c r="C33" s="145">
        <f>C34-7.5</f>
        <v>213.5</v>
      </c>
      <c r="D33" s="139"/>
      <c r="E33" s="140"/>
      <c r="F33" s="140"/>
      <c r="G33" s="140"/>
      <c r="H33" s="140"/>
      <c r="I33" s="140"/>
      <c r="J33" s="140"/>
      <c r="K33" s="140"/>
      <c r="L33" s="140"/>
      <c r="M33" s="140"/>
    </row>
    <row r="34" spans="1:14" ht="24.95">
      <c r="A34" s="133"/>
      <c r="B34" s="205" t="s">
        <v>66</v>
      </c>
      <c r="C34" s="145">
        <f>'New Brunswick Undergraduate'!C32</f>
        <v>221</v>
      </c>
      <c r="D34" s="139"/>
      <c r="E34" s="140"/>
      <c r="F34" s="140"/>
      <c r="G34" s="140"/>
      <c r="H34" s="140"/>
      <c r="I34" s="140"/>
      <c r="J34" s="140"/>
      <c r="K34" s="140"/>
      <c r="L34" s="140"/>
      <c r="M34" s="140"/>
    </row>
    <row r="37" spans="1:14" ht="15.6">
      <c r="A37" s="281" t="s">
        <v>149</v>
      </c>
      <c r="B37" s="282"/>
      <c r="C37" s="282"/>
      <c r="D37" s="282"/>
      <c r="E37" s="282"/>
      <c r="F37" s="282"/>
      <c r="G37" s="282"/>
      <c r="H37" s="282"/>
      <c r="I37" s="282"/>
      <c r="J37" s="282"/>
      <c r="K37" s="282"/>
      <c r="L37" s="282"/>
      <c r="M37" s="252"/>
      <c r="N37" s="250"/>
    </row>
    <row r="38" spans="1:14" ht="15.6">
      <c r="A38" s="279" t="s">
        <v>150</v>
      </c>
      <c r="B38" s="280"/>
      <c r="C38" s="280"/>
      <c r="D38" s="280"/>
      <c r="E38" s="280"/>
      <c r="F38" s="280"/>
      <c r="G38" s="280"/>
      <c r="H38" s="280"/>
      <c r="I38" s="280"/>
      <c r="J38" s="280"/>
      <c r="K38" s="280"/>
      <c r="L38" s="280"/>
      <c r="M38" s="249"/>
      <c r="N38" s="251"/>
    </row>
    <row r="39" spans="1:14" ht="15.6">
      <c r="A39" s="279" t="s">
        <v>219</v>
      </c>
      <c r="B39" s="280"/>
      <c r="C39" s="280"/>
      <c r="D39" s="280"/>
      <c r="E39" s="280"/>
      <c r="F39" s="280"/>
      <c r="G39" s="280"/>
      <c r="H39" s="280"/>
      <c r="I39" s="280"/>
      <c r="J39" s="280"/>
      <c r="K39" s="280"/>
      <c r="L39" s="280"/>
      <c r="M39" s="249"/>
      <c r="N39" s="251"/>
    </row>
    <row r="40" spans="1:14" ht="15.6">
      <c r="A40" s="279" t="s">
        <v>220</v>
      </c>
      <c r="B40" s="280"/>
      <c r="C40" s="280"/>
      <c r="D40" s="280"/>
      <c r="E40" s="280"/>
      <c r="F40" s="280"/>
      <c r="G40" s="280"/>
      <c r="H40" s="280"/>
      <c r="I40" s="280"/>
      <c r="J40" s="280"/>
      <c r="K40" s="280"/>
      <c r="L40" s="280"/>
      <c r="M40" s="249"/>
      <c r="N40" s="251"/>
    </row>
    <row r="41" spans="1:14" ht="15.6">
      <c r="A41" s="279" t="s">
        <v>221</v>
      </c>
      <c r="B41" s="280"/>
      <c r="C41" s="280"/>
      <c r="D41" s="280"/>
      <c r="E41" s="280"/>
      <c r="F41" s="280"/>
      <c r="G41" s="280"/>
      <c r="H41" s="280"/>
      <c r="I41" s="280"/>
      <c r="J41" s="280"/>
      <c r="K41" s="280"/>
      <c r="L41" s="280"/>
      <c r="M41" s="249"/>
      <c r="N41" s="251"/>
    </row>
    <row r="42" spans="1:14" ht="15.6">
      <c r="A42" s="279" t="s">
        <v>153</v>
      </c>
      <c r="B42" s="280"/>
      <c r="C42" s="280"/>
      <c r="D42" s="280"/>
      <c r="E42" s="280"/>
      <c r="F42" s="280"/>
      <c r="G42" s="280"/>
      <c r="H42" s="280"/>
      <c r="I42" s="280"/>
      <c r="J42" s="280"/>
      <c r="K42" s="280"/>
      <c r="L42" s="280"/>
      <c r="M42" s="249"/>
      <c r="N42" s="251"/>
    </row>
    <row r="43" spans="1:14" ht="15.6">
      <c r="A43" s="279" t="s">
        <v>105</v>
      </c>
      <c r="B43" s="280"/>
      <c r="C43" s="280"/>
      <c r="D43" s="280"/>
      <c r="E43" s="280"/>
      <c r="F43" s="280"/>
      <c r="G43" s="280"/>
      <c r="H43" s="280"/>
      <c r="I43" s="280"/>
      <c r="J43" s="280"/>
      <c r="K43" s="280"/>
      <c r="L43" s="280"/>
      <c r="M43" s="249"/>
      <c r="N43" s="251"/>
    </row>
    <row r="44" spans="1:14" ht="15.6">
      <c r="A44" s="265" t="s">
        <v>222</v>
      </c>
      <c r="B44" s="266"/>
      <c r="C44" s="266"/>
      <c r="D44" s="266"/>
      <c r="E44" s="266"/>
      <c r="F44" s="266"/>
      <c r="G44" s="266"/>
      <c r="H44" s="266"/>
      <c r="I44" s="266"/>
      <c r="J44" s="266"/>
      <c r="K44" s="266"/>
      <c r="L44" s="266"/>
      <c r="M44" s="266"/>
      <c r="N44" s="269"/>
    </row>
    <row r="45" spans="1:14" ht="15.6">
      <c r="A45" s="265" t="s">
        <v>207</v>
      </c>
      <c r="B45" s="266"/>
      <c r="C45" s="266"/>
      <c r="D45" s="266"/>
      <c r="E45" s="266"/>
      <c r="F45" s="266"/>
      <c r="G45" s="266"/>
      <c r="H45" s="266"/>
      <c r="I45" s="266"/>
      <c r="J45" s="266"/>
      <c r="K45" s="266"/>
      <c r="L45" s="266"/>
      <c r="M45" s="249"/>
      <c r="N45" s="251"/>
    </row>
    <row r="46" spans="1:14" ht="15.6">
      <c r="A46" s="270" t="s">
        <v>208</v>
      </c>
      <c r="B46" s="271"/>
      <c r="C46" s="271"/>
      <c r="D46" s="271"/>
      <c r="E46" s="271"/>
      <c r="F46" s="271"/>
      <c r="G46" s="271"/>
      <c r="H46" s="271"/>
      <c r="I46" s="271"/>
      <c r="J46" s="271"/>
      <c r="K46" s="271"/>
      <c r="L46" s="271"/>
      <c r="M46" s="247"/>
      <c r="N46" s="248"/>
    </row>
  </sheetData>
  <mergeCells count="8">
    <mergeCell ref="A41:L41"/>
    <mergeCell ref="A42:L42"/>
    <mergeCell ref="A43:L43"/>
    <mergeCell ref="A1:M1"/>
    <mergeCell ref="A37:L37"/>
    <mergeCell ref="A38:L38"/>
    <mergeCell ref="A39:L39"/>
    <mergeCell ref="A40:L40"/>
  </mergeCells>
  <phoneticPr fontId="44" type="noConversion"/>
  <pageMargins left="0.7" right="0.7" top="0.75" bottom="0.75" header="0.3" footer="0.3"/>
  <pageSetup scale="39" fitToHeight="0" orientation="landscape" horizontalDpi="300" verticalDpi="30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G41"/>
  <sheetViews>
    <sheetView showGridLines="0" zoomScale="60" zoomScaleNormal="60" workbookViewId="0"/>
  </sheetViews>
  <sheetFormatPr defaultColWidth="9.140625" defaultRowHeight="14.45"/>
  <cols>
    <col min="1" max="1" width="58.85546875" style="1" customWidth="1"/>
    <col min="2" max="2" width="12.42578125" style="1" bestFit="1" customWidth="1"/>
    <col min="3" max="3" width="18.42578125" style="1" bestFit="1" customWidth="1"/>
    <col min="4" max="4" width="17" style="1" bestFit="1" customWidth="1"/>
    <col min="5" max="5" width="23.140625" style="1" bestFit="1" customWidth="1"/>
    <col min="6" max="6" width="25.7109375" style="1" bestFit="1" customWidth="1"/>
    <col min="7" max="16384" width="9.140625" style="1"/>
  </cols>
  <sheetData>
    <row r="1" spans="1:6" ht="18">
      <c r="A1" s="243" t="s">
        <v>79</v>
      </c>
      <c r="B1" s="242"/>
      <c r="C1" s="95">
        <v>50</v>
      </c>
      <c r="D1" s="95">
        <v>52</v>
      </c>
      <c r="E1" s="96">
        <v>57</v>
      </c>
      <c r="F1" s="96">
        <v>64</v>
      </c>
    </row>
    <row r="2" spans="1:6" ht="18">
      <c r="A2" s="243" t="s">
        <v>80</v>
      </c>
      <c r="B2" s="242"/>
      <c r="C2" s="97" t="s">
        <v>247</v>
      </c>
      <c r="D2" s="98"/>
      <c r="E2" s="97" t="s">
        <v>247</v>
      </c>
      <c r="F2" s="97"/>
    </row>
    <row r="3" spans="1:6" ht="18">
      <c r="A3" s="243" t="s">
        <v>248</v>
      </c>
      <c r="B3" s="242"/>
      <c r="C3" s="97" t="s">
        <v>249</v>
      </c>
      <c r="D3" s="97" t="s">
        <v>114</v>
      </c>
      <c r="E3" s="97" t="s">
        <v>192</v>
      </c>
      <c r="F3" s="97" t="s">
        <v>195</v>
      </c>
    </row>
    <row r="4" spans="1:6" ht="18">
      <c r="A4" s="242"/>
      <c r="B4" s="242"/>
      <c r="C4" s="100" t="s">
        <v>250</v>
      </c>
      <c r="D4" s="100" t="s">
        <v>189</v>
      </c>
      <c r="E4" s="100" t="s">
        <v>251</v>
      </c>
      <c r="F4" s="100" t="s">
        <v>200</v>
      </c>
    </row>
    <row r="5" spans="1:6">
      <c r="A5" s="242"/>
      <c r="B5" s="242"/>
      <c r="C5" s="5"/>
      <c r="D5" s="5"/>
      <c r="E5" s="5"/>
      <c r="F5" s="5"/>
    </row>
    <row r="6" spans="1:6" ht="18" hidden="1">
      <c r="A6" s="7" t="s">
        <v>21</v>
      </c>
      <c r="B6" s="5" t="s">
        <v>22</v>
      </c>
      <c r="C6" s="5" t="s">
        <v>23</v>
      </c>
      <c r="D6" s="5" t="s">
        <v>24</v>
      </c>
      <c r="E6" s="5" t="s">
        <v>25</v>
      </c>
      <c r="F6" s="5" t="s">
        <v>26</v>
      </c>
    </row>
    <row r="7" spans="1:6" ht="24.95">
      <c r="A7" s="113" t="s">
        <v>93</v>
      </c>
      <c r="B7" s="114"/>
      <c r="C7" s="114"/>
      <c r="D7" s="114"/>
      <c r="E7" s="114"/>
      <c r="F7" s="114"/>
    </row>
    <row r="8" spans="1:6" s="13" customFormat="1" ht="44.1">
      <c r="A8" s="120" t="s">
        <v>202</v>
      </c>
      <c r="B8" s="121"/>
      <c r="C8" s="122">
        <f>'New Brunswick Undergraduate'!C8</f>
        <v>7690.5</v>
      </c>
      <c r="D8" s="122">
        <f>15844/2</f>
        <v>7922</v>
      </c>
      <c r="E8" s="122">
        <f>18002/2</f>
        <v>9001</v>
      </c>
      <c r="F8" s="122">
        <f>Table389[[#This Row],[Column3]]</f>
        <v>7690.5</v>
      </c>
    </row>
    <row r="9" spans="1:6" s="13" customFormat="1" ht="44.1">
      <c r="A9" s="120" t="s">
        <v>203</v>
      </c>
      <c r="B9" s="121"/>
      <c r="C9" s="122">
        <f>'New Brunswick Undergraduate'!C9</f>
        <v>18415.5</v>
      </c>
      <c r="D9" s="122">
        <f>36852/2</f>
        <v>18426</v>
      </c>
      <c r="E9" s="122">
        <f>35957/2</f>
        <v>17978.5</v>
      </c>
      <c r="F9" s="122">
        <f>Table389[[#This Row],[Column3]]</f>
        <v>18415.5</v>
      </c>
    </row>
    <row r="10" spans="1:6" s="13" customFormat="1" ht="23.45">
      <c r="A10" s="184" t="s">
        <v>94</v>
      </c>
      <c r="B10" s="121"/>
      <c r="C10" s="126">
        <f>3025/2</f>
        <v>1512.5</v>
      </c>
      <c r="D10" s="126">
        <f>3020/2</f>
        <v>1510</v>
      </c>
      <c r="E10" s="126">
        <f>Table389[[#This Row],[Column3]]</f>
        <v>1512.5</v>
      </c>
      <c r="F10" s="126">
        <f>Table389[[#This Row],[Column3]]</f>
        <v>1512.5</v>
      </c>
    </row>
    <row r="11" spans="1:6" s="13" customFormat="1" ht="23.45">
      <c r="A11" s="120" t="s">
        <v>95</v>
      </c>
      <c r="B11" s="121"/>
      <c r="C11" s="122">
        <f>362/2</f>
        <v>181</v>
      </c>
      <c r="D11" s="122">
        <f>447/2</f>
        <v>223.5</v>
      </c>
      <c r="E11" s="122">
        <f>728/2</f>
        <v>364</v>
      </c>
      <c r="F11" s="122">
        <f>Table389[[#This Row],[Column3]]</f>
        <v>181</v>
      </c>
    </row>
    <row r="12" spans="1:6" s="20" customFormat="1" ht="22.5">
      <c r="A12" s="120" t="s">
        <v>252</v>
      </c>
      <c r="B12" s="185"/>
      <c r="C12" s="177">
        <f>'New Brunswick Undergraduate'!C12</f>
        <v>1221.5</v>
      </c>
      <c r="D12" s="177">
        <f>Table389[[#This Row],[Column3]]</f>
        <v>1221.5</v>
      </c>
      <c r="E12" s="177">
        <f>Table389[[#This Row],[Column3]]</f>
        <v>1221.5</v>
      </c>
      <c r="F12" s="177">
        <f>Table389[[#This Row],[Column3]]</f>
        <v>1221.5</v>
      </c>
    </row>
    <row r="13" spans="1:6" s="13" customFormat="1" ht="23.1">
      <c r="A13" s="120" t="s">
        <v>97</v>
      </c>
      <c r="B13" s="129"/>
      <c r="C13" s="122">
        <f>C32</f>
        <v>221</v>
      </c>
      <c r="D13" s="122">
        <f>C32</f>
        <v>221</v>
      </c>
      <c r="E13" s="122">
        <f>C32</f>
        <v>221</v>
      </c>
      <c r="F13" s="122">
        <f>C32</f>
        <v>221</v>
      </c>
    </row>
    <row r="14" spans="1:6" ht="24.95">
      <c r="A14" s="113" t="s">
        <v>98</v>
      </c>
      <c r="B14" s="116"/>
      <c r="C14" s="146"/>
      <c r="D14" s="146"/>
      <c r="E14" s="146"/>
      <c r="F14" s="146"/>
    </row>
    <row r="15" spans="1:6" s="13" customFormat="1" ht="23.1">
      <c r="A15" s="120" t="s">
        <v>50</v>
      </c>
      <c r="B15" s="129"/>
      <c r="C15" s="122">
        <f>'New Brunswick Undergraduate'!C15</f>
        <v>496</v>
      </c>
      <c r="D15" s="122">
        <v>511</v>
      </c>
      <c r="E15" s="122">
        <v>597</v>
      </c>
      <c r="F15" s="122">
        <f>Table389[[#This Row],[Column3]]</f>
        <v>496</v>
      </c>
    </row>
    <row r="16" spans="1:6" s="13" customFormat="1" ht="45.6">
      <c r="A16" s="120" t="s">
        <v>51</v>
      </c>
      <c r="B16" s="129"/>
      <c r="C16" s="122">
        <f>'New Brunswick Undergraduate'!C16</f>
        <v>1197</v>
      </c>
      <c r="D16" s="122">
        <f>Table389[[#This Row],[Column3]]</f>
        <v>1197</v>
      </c>
      <c r="E16" s="122">
        <v>1165</v>
      </c>
      <c r="F16" s="122">
        <f>Table389[[#This Row],[Column3]]</f>
        <v>1197</v>
      </c>
    </row>
    <row r="17" spans="1:6" s="13" customFormat="1" ht="23.1">
      <c r="A17" s="120" t="s">
        <v>94</v>
      </c>
      <c r="B17" s="129"/>
      <c r="C17" s="122">
        <f>1031/2</f>
        <v>515.5</v>
      </c>
      <c r="D17" s="122">
        <f>1028/2</f>
        <v>514</v>
      </c>
      <c r="E17" s="122">
        <f>Table389[[#This Row],[Column3]]</f>
        <v>515.5</v>
      </c>
      <c r="F17" s="122">
        <f>995/2</f>
        <v>497.5</v>
      </c>
    </row>
    <row r="18" spans="1:6" s="13" customFormat="1" ht="23.1">
      <c r="A18" s="120" t="s">
        <v>95</v>
      </c>
      <c r="B18" s="129"/>
      <c r="C18" s="122">
        <f>190/2</f>
        <v>95</v>
      </c>
      <c r="D18" s="122">
        <f>247/2</f>
        <v>123.5</v>
      </c>
      <c r="E18" s="122">
        <f>363/2</f>
        <v>181.5</v>
      </c>
      <c r="F18" s="122">
        <f>191/2</f>
        <v>95.5</v>
      </c>
    </row>
    <row r="19" spans="1:6" s="13" customFormat="1" ht="22.5">
      <c r="A19" s="120" t="s">
        <v>252</v>
      </c>
      <c r="B19" s="189"/>
      <c r="C19" s="177">
        <f>'New Brunswick Undergraduate'!C19</f>
        <v>350.5</v>
      </c>
      <c r="D19" s="177">
        <f>Table389[[#This Row],[Column3]]</f>
        <v>350.5</v>
      </c>
      <c r="E19" s="177">
        <f>Table389[[#This Row],[Column3]]</f>
        <v>350.5</v>
      </c>
      <c r="F19" s="177">
        <f>Table389[[#This Row],[Column3]]</f>
        <v>350.5</v>
      </c>
    </row>
    <row r="20" spans="1:6" ht="45">
      <c r="A20" s="120" t="s">
        <v>253</v>
      </c>
      <c r="B20" s="204"/>
      <c r="C20" s="151" t="s">
        <v>100</v>
      </c>
      <c r="D20" s="151" t="s">
        <v>100</v>
      </c>
      <c r="E20" s="151" t="s">
        <v>100</v>
      </c>
      <c r="F20" s="151" t="s">
        <v>100</v>
      </c>
    </row>
    <row r="21" spans="1:6" ht="24.95">
      <c r="A21" s="119" t="s">
        <v>101</v>
      </c>
      <c r="B21" s="144" t="s">
        <v>59</v>
      </c>
      <c r="C21" s="145">
        <f t="shared" ref="C21:C30" si="0">C22-7.5</f>
        <v>138.5</v>
      </c>
      <c r="D21" s="143"/>
      <c r="E21" s="143"/>
      <c r="F21" s="143"/>
    </row>
    <row r="22" spans="1:6" ht="18">
      <c r="A22" s="254"/>
      <c r="B22" s="144">
        <v>2</v>
      </c>
      <c r="C22" s="145">
        <f t="shared" si="0"/>
        <v>146</v>
      </c>
      <c r="D22" s="256"/>
      <c r="E22" s="256"/>
      <c r="F22" s="256"/>
    </row>
    <row r="23" spans="1:6" ht="18">
      <c r="A23" s="254"/>
      <c r="B23" s="144">
        <v>3</v>
      </c>
      <c r="C23" s="145">
        <f t="shared" si="0"/>
        <v>153.5</v>
      </c>
      <c r="D23" s="134"/>
      <c r="E23" s="134"/>
      <c r="F23" s="134"/>
    </row>
    <row r="24" spans="1:6" ht="18">
      <c r="A24" s="254"/>
      <c r="B24" s="144">
        <v>4</v>
      </c>
      <c r="C24" s="145">
        <f t="shared" si="0"/>
        <v>161</v>
      </c>
      <c r="D24" s="255"/>
      <c r="E24" s="255"/>
      <c r="F24" s="255"/>
    </row>
    <row r="25" spans="1:6" ht="18">
      <c r="A25" s="132"/>
      <c r="B25" s="144">
        <v>5</v>
      </c>
      <c r="C25" s="145">
        <f t="shared" si="0"/>
        <v>168.5</v>
      </c>
      <c r="D25" s="135"/>
      <c r="E25" s="136"/>
      <c r="F25" s="137"/>
    </row>
    <row r="26" spans="1:6" ht="18">
      <c r="A26" s="132"/>
      <c r="B26" s="144">
        <v>6</v>
      </c>
      <c r="C26" s="145">
        <f t="shared" si="0"/>
        <v>176</v>
      </c>
      <c r="D26" s="135"/>
      <c r="E26" s="137"/>
      <c r="F26" s="137"/>
    </row>
    <row r="27" spans="1:6" ht="20.100000000000001">
      <c r="A27" s="132"/>
      <c r="B27" s="144">
        <v>7</v>
      </c>
      <c r="C27" s="145">
        <f t="shared" si="0"/>
        <v>183.5</v>
      </c>
      <c r="D27" s="139"/>
      <c r="E27" s="140"/>
      <c r="F27" s="137"/>
    </row>
    <row r="28" spans="1:6" ht="20.100000000000001">
      <c r="A28" s="132"/>
      <c r="B28" s="144">
        <v>8</v>
      </c>
      <c r="C28" s="145">
        <f t="shared" si="0"/>
        <v>191</v>
      </c>
      <c r="D28" s="139"/>
      <c r="E28" s="140"/>
      <c r="F28" s="140"/>
    </row>
    <row r="29" spans="1:6" ht="20.100000000000001">
      <c r="A29" s="132"/>
      <c r="B29" s="144">
        <v>9</v>
      </c>
      <c r="C29" s="145">
        <f t="shared" si="0"/>
        <v>198.5</v>
      </c>
      <c r="D29" s="139"/>
      <c r="E29" s="140"/>
      <c r="F29" s="140"/>
    </row>
    <row r="30" spans="1:6" ht="20.100000000000001">
      <c r="A30" s="132"/>
      <c r="B30" s="144">
        <v>10</v>
      </c>
      <c r="C30" s="145">
        <f t="shared" si="0"/>
        <v>206</v>
      </c>
      <c r="D30" s="139"/>
      <c r="E30" s="140"/>
      <c r="F30" s="140"/>
    </row>
    <row r="31" spans="1:6" ht="20.100000000000001">
      <c r="A31" s="132"/>
      <c r="B31" s="144">
        <v>11</v>
      </c>
      <c r="C31" s="145">
        <f>C32-7.5</f>
        <v>213.5</v>
      </c>
      <c r="D31" s="139"/>
      <c r="E31" s="140"/>
      <c r="F31" s="140"/>
    </row>
    <row r="32" spans="1:6" ht="24.95">
      <c r="A32" s="133"/>
      <c r="B32" s="144" t="s">
        <v>66</v>
      </c>
      <c r="C32" s="145">
        <f>'New Brunswick Graduate pg 1.'!C34</f>
        <v>221</v>
      </c>
      <c r="D32" s="139"/>
      <c r="E32" s="140"/>
      <c r="F32" s="140"/>
    </row>
    <row r="35" spans="1:7" ht="15.6">
      <c r="A35" s="281" t="s">
        <v>149</v>
      </c>
      <c r="B35" s="282"/>
      <c r="C35" s="282"/>
      <c r="D35" s="282"/>
      <c r="E35" s="282"/>
      <c r="F35" s="282"/>
      <c r="G35" s="285"/>
    </row>
    <row r="36" spans="1:7" ht="15.6">
      <c r="A36" s="279" t="s">
        <v>103</v>
      </c>
      <c r="B36" s="280"/>
      <c r="C36" s="280"/>
      <c r="D36" s="280"/>
      <c r="E36" s="280"/>
      <c r="F36" s="280"/>
      <c r="G36" s="283"/>
    </row>
    <row r="37" spans="1:7" ht="15.6">
      <c r="A37" s="279" t="s">
        <v>153</v>
      </c>
      <c r="B37" s="280"/>
      <c r="C37" s="280"/>
      <c r="D37" s="280"/>
      <c r="E37" s="280"/>
      <c r="F37" s="280"/>
      <c r="G37" s="283"/>
    </row>
    <row r="38" spans="1:7" ht="15.6">
      <c r="A38" s="279" t="s">
        <v>105</v>
      </c>
      <c r="B38" s="280"/>
      <c r="C38" s="280"/>
      <c r="D38" s="280"/>
      <c r="E38" s="280"/>
      <c r="F38" s="280"/>
      <c r="G38" s="283"/>
    </row>
    <row r="39" spans="1:7" ht="15.6">
      <c r="A39" s="279" t="s">
        <v>106</v>
      </c>
      <c r="B39" s="280"/>
      <c r="C39" s="280"/>
      <c r="D39" s="280"/>
      <c r="E39" s="280"/>
      <c r="F39" s="280"/>
      <c r="G39" s="283"/>
    </row>
    <row r="40" spans="1:7" ht="15.6">
      <c r="A40" s="279" t="s">
        <v>254</v>
      </c>
      <c r="B40" s="280"/>
      <c r="C40" s="280"/>
      <c r="D40" s="280"/>
      <c r="E40" s="280"/>
      <c r="F40" s="280"/>
      <c r="G40" s="283"/>
    </row>
    <row r="41" spans="1:7" ht="15.6">
      <c r="A41" s="286" t="s">
        <v>255</v>
      </c>
      <c r="B41" s="287"/>
      <c r="C41" s="287"/>
      <c r="D41" s="287"/>
      <c r="E41" s="287"/>
      <c r="F41" s="287"/>
      <c r="G41" s="288"/>
    </row>
  </sheetData>
  <mergeCells count="7">
    <mergeCell ref="A39:G39"/>
    <mergeCell ref="A40:G40"/>
    <mergeCell ref="A41:G41"/>
    <mergeCell ref="A35:G35"/>
    <mergeCell ref="A36:G36"/>
    <mergeCell ref="A37:G37"/>
    <mergeCell ref="A38:G38"/>
  </mergeCells>
  <pageMargins left="0.7" right="0.7" top="0.75" bottom="0.75" header="0.3" footer="0.3"/>
  <pageSetup scale="70" fitToHeight="0" orientation="landscape" horizontalDpi="300" verticalDpi="300" r:id="rId1"/>
  <drawing r:id="rId2"/>
  <tableParts count="1">
    <tablePart r:id="rId3"/>
  </tableParts>
</worksheet>
</file>

<file path=docMetadata/LabelInfo.xml><?xml version="1.0" encoding="utf-8"?>
<clbl:labelList xmlns:clbl="http://schemas.microsoft.com/office/2020/mipLabelMetadata">
  <clbl:label id="{833b8918-8e4b-45f6-8b1c-7a7cff3f90ed}" enabled="1" method="Privileged" siteId="{17abf708-3a06-4391-bdbd-06808d1b9f81}"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Crippen</dc:creator>
  <cp:keywords/>
  <dc:description/>
  <cp:lastModifiedBy>Brenna Krawcheck</cp:lastModifiedBy>
  <cp:revision/>
  <dcterms:created xsi:type="dcterms:W3CDTF">2019-11-25T16:02:56Z</dcterms:created>
  <dcterms:modified xsi:type="dcterms:W3CDTF">2026-07-24T15:00:21Z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